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o-ks-02\Shara\4_ДУЕВА\от Ашмарина\"/>
    </mc:Choice>
  </mc:AlternateContent>
  <bookViews>
    <workbookView xWindow="480" yWindow="105" windowWidth="37395" windowHeight="12600"/>
  </bookViews>
  <sheets>
    <sheet name="Лист1" sheetId="1" r:id="rId1"/>
    <sheet name="Справка" sheetId="2" r:id="rId2"/>
    <sheet name="Лист3" sheetId="3" r:id="rId3"/>
  </sheets>
  <definedNames>
    <definedName name="_xlnm._FilterDatabase" localSheetId="0" hidden="1">Лист1!$A$4:$L$172</definedName>
  </definedNames>
  <calcPr calcId="152511" iterateDelta="1E-4"/>
</workbook>
</file>

<file path=xl/calcChain.xml><?xml version="1.0" encoding="utf-8"?>
<calcChain xmlns="http://schemas.openxmlformats.org/spreadsheetml/2006/main">
  <c r="N75" i="1" l="1"/>
  <c r="N130" i="1"/>
  <c r="P104" i="1" l="1"/>
  <c r="O30" i="1" l="1"/>
  <c r="P30" i="1"/>
  <c r="N30" i="1"/>
  <c r="N83" i="1"/>
  <c r="N154" i="1"/>
  <c r="P120" i="1"/>
  <c r="P10" i="1"/>
  <c r="N99" i="1"/>
  <c r="N88" i="1"/>
  <c r="N31" i="1"/>
  <c r="N158" i="1"/>
  <c r="P13" i="1"/>
  <c r="N156" i="1"/>
  <c r="P78" i="1"/>
  <c r="N116" i="1"/>
  <c r="O77" i="1"/>
  <c r="O53" i="1"/>
  <c r="N5" i="1"/>
  <c r="R87" i="1"/>
  <c r="N84" i="1"/>
  <c r="V4" i="1" l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U4" i="1"/>
  <c r="M12" i="1"/>
  <c r="M15" i="1"/>
  <c r="M16" i="1"/>
  <c r="M18" i="1"/>
  <c r="M19" i="1"/>
  <c r="M21" i="1"/>
  <c r="M22" i="1"/>
  <c r="M24" i="1"/>
  <c r="M25" i="1"/>
  <c r="M26" i="1"/>
  <c r="M27" i="1"/>
  <c r="M28" i="1"/>
  <c r="M30" i="1"/>
  <c r="M32" i="1"/>
  <c r="M35" i="1"/>
  <c r="M36" i="1"/>
  <c r="M39" i="1"/>
  <c r="M45" i="1"/>
  <c r="M46" i="1"/>
  <c r="M50" i="1"/>
  <c r="M58" i="1"/>
  <c r="M61" i="1"/>
  <c r="M62" i="1"/>
  <c r="M66" i="1"/>
  <c r="M67" i="1"/>
  <c r="M68" i="1"/>
  <c r="M69" i="1"/>
  <c r="M71" i="1"/>
  <c r="M74" i="1"/>
  <c r="M75" i="1"/>
  <c r="M79" i="1"/>
  <c r="M80" i="1"/>
  <c r="M82" i="1"/>
  <c r="M91" i="1"/>
  <c r="M92" i="1"/>
  <c r="M94" i="1"/>
  <c r="M96" i="1"/>
  <c r="M97" i="1"/>
  <c r="M101" i="1"/>
  <c r="M103" i="1"/>
  <c r="M104" i="1"/>
  <c r="M105" i="1"/>
  <c r="M106" i="1"/>
  <c r="M107" i="1"/>
  <c r="M108" i="1"/>
  <c r="M109" i="1"/>
  <c r="M110" i="1"/>
  <c r="M111" i="1"/>
  <c r="M113" i="1"/>
  <c r="M114" i="1"/>
  <c r="M115" i="1"/>
  <c r="M117" i="1"/>
  <c r="M119" i="1"/>
  <c r="M121" i="1"/>
  <c r="M126" i="1"/>
  <c r="M130" i="1"/>
  <c r="M131" i="1"/>
  <c r="M132" i="1"/>
  <c r="M133" i="1"/>
  <c r="M134" i="1"/>
  <c r="M137" i="1"/>
  <c r="M138" i="1"/>
  <c r="M140" i="1"/>
  <c r="M142" i="1"/>
  <c r="M143" i="1"/>
  <c r="M144" i="1"/>
  <c r="M146" i="1"/>
  <c r="M148" i="1"/>
  <c r="M150" i="1"/>
  <c r="M151" i="1"/>
  <c r="M153" i="1"/>
  <c r="M157" i="1"/>
  <c r="M161" i="1"/>
  <c r="M162" i="1"/>
  <c r="M163" i="1"/>
  <c r="M164" i="1"/>
  <c r="M165" i="1"/>
  <c r="M166" i="1"/>
  <c r="M169" i="1"/>
  <c r="M172" i="1"/>
  <c r="M7" i="1"/>
  <c r="M9" i="1"/>
  <c r="M156" i="1" l="1"/>
  <c r="N81" i="1" l="1"/>
  <c r="M81" i="1" s="1"/>
  <c r="P123" i="1"/>
  <c r="M123" i="1" s="1"/>
  <c r="N170" i="1"/>
  <c r="M170" i="1" s="1"/>
  <c r="P98" i="1"/>
  <c r="M98" i="1" s="1"/>
  <c r="P124" i="1"/>
  <c r="M124" i="1" s="1"/>
  <c r="P139" i="1"/>
  <c r="M139" i="1" s="1"/>
  <c r="P47" i="1"/>
  <c r="M47" i="1" s="1"/>
  <c r="N56" i="1"/>
  <c r="M56" i="1" s="1"/>
  <c r="N135" i="1"/>
  <c r="M135" i="1" s="1"/>
  <c r="N40" i="1"/>
  <c r="M40" i="1" s="1"/>
  <c r="N95" i="1"/>
  <c r="M95" i="1" s="1"/>
  <c r="P128" i="1"/>
  <c r="M128" i="1" s="1"/>
  <c r="P171" i="1"/>
  <c r="M171" i="1" s="1"/>
  <c r="N13" i="1"/>
  <c r="M13" i="1" s="1"/>
  <c r="P37" i="1"/>
  <c r="M37" i="1" s="1"/>
  <c r="P59" i="1"/>
  <c r="M59" i="1" s="1"/>
  <c r="N86" i="1"/>
  <c r="M86" i="1" s="1"/>
  <c r="O38" i="1"/>
  <c r="N38" i="1"/>
  <c r="M38" i="1" s="1"/>
  <c r="N43" i="1"/>
  <c r="M43" i="1" s="1"/>
  <c r="M158" i="1"/>
  <c r="P51" i="1"/>
  <c r="M51" i="1" s="1"/>
  <c r="P60" i="1"/>
  <c r="M60" i="1" s="1"/>
  <c r="P102" i="1" l="1"/>
  <c r="N102" i="1"/>
  <c r="M31" i="1"/>
  <c r="M102" i="1" l="1"/>
  <c r="P155" i="1"/>
  <c r="M155" i="1" s="1"/>
  <c r="P70" i="1" l="1"/>
  <c r="N70" i="1"/>
  <c r="M70" i="1" s="1"/>
  <c r="P129" i="1" l="1"/>
  <c r="M129" i="1" s="1"/>
  <c r="O73" i="1"/>
  <c r="P73" i="1"/>
  <c r="N73" i="1"/>
  <c r="M73" i="1" s="1"/>
  <c r="N23" i="1"/>
  <c r="M23" i="1" s="1"/>
  <c r="P48" i="1"/>
  <c r="M48" i="1" s="1"/>
  <c r="N149" i="1"/>
  <c r="M149" i="1" s="1"/>
  <c r="M88" i="1"/>
  <c r="P167" i="1"/>
  <c r="M167" i="1" s="1"/>
  <c r="P145" i="1"/>
  <c r="M145" i="1" s="1"/>
  <c r="P33" i="1"/>
  <c r="M33" i="1" s="1"/>
  <c r="P65" i="1"/>
  <c r="M65" i="1" s="1"/>
  <c r="N136" i="1"/>
  <c r="M136" i="1" s="1"/>
  <c r="P93" i="1"/>
  <c r="O93" i="1"/>
  <c r="N93" i="1"/>
  <c r="M93" i="1" s="1"/>
  <c r="M99" i="1"/>
  <c r="P64" i="1"/>
  <c r="N64" i="1"/>
  <c r="M64" i="1" s="1"/>
  <c r="N14" i="1"/>
  <c r="M14" i="1" s="1"/>
  <c r="R14" i="1"/>
  <c r="O54" i="1"/>
  <c r="N54" i="1"/>
  <c r="M54" i="1" s="1"/>
  <c r="O52" i="1"/>
  <c r="N52" i="1"/>
  <c r="P11" i="1"/>
  <c r="M11" i="1" s="1"/>
  <c r="N10" i="1"/>
  <c r="M10" i="1" s="1"/>
  <c r="N112" i="1"/>
  <c r="M112" i="1" s="1"/>
  <c r="P57" i="1"/>
  <c r="M57" i="1" s="1"/>
  <c r="R85" i="1"/>
  <c r="M85" i="1" s="1"/>
  <c r="P49" i="1"/>
  <c r="M49" i="1" s="1"/>
  <c r="P41" i="1"/>
  <c r="M41" i="1" s="1"/>
  <c r="M120" i="1"/>
  <c r="P125" i="1"/>
  <c r="M125" i="1" s="1"/>
  <c r="P72" i="1"/>
  <c r="M72" i="1" s="1"/>
  <c r="P34" i="1"/>
  <c r="N34" i="1"/>
  <c r="P89" i="1"/>
  <c r="M89" i="1" s="1"/>
  <c r="P90" i="1"/>
  <c r="N90" i="1"/>
  <c r="N160" i="1"/>
  <c r="M160" i="1" s="1"/>
  <c r="N152" i="1"/>
  <c r="M152" i="1" s="1"/>
  <c r="P53" i="1"/>
  <c r="N53" i="1"/>
  <c r="M5" i="1" l="1"/>
  <c r="M53" i="1"/>
  <c r="M90" i="1"/>
  <c r="M34" i="1"/>
  <c r="M52" i="1"/>
  <c r="M154" i="1"/>
  <c r="N77" i="1" l="1"/>
  <c r="P8" i="1"/>
  <c r="M8" i="1" s="1"/>
  <c r="N118" i="1"/>
  <c r="M118" i="1" s="1"/>
  <c r="N127" i="1"/>
  <c r="S127" i="1"/>
  <c r="S4" i="1" s="1"/>
  <c r="P29" i="1"/>
  <c r="M29" i="1" s="1"/>
  <c r="M83" i="1"/>
  <c r="N168" i="1"/>
  <c r="M168" i="1" s="1"/>
  <c r="P6" i="1"/>
  <c r="N55" i="1"/>
  <c r="P55" i="1"/>
  <c r="N159" i="1"/>
  <c r="M159" i="1" s="1"/>
  <c r="P122" i="1"/>
  <c r="Q122" i="1"/>
  <c r="O122" i="1"/>
  <c r="N122" i="1"/>
  <c r="M78" i="1"/>
  <c r="R100" i="1"/>
  <c r="M100" i="1" s="1"/>
  <c r="O116" i="1"/>
  <c r="N76" i="1"/>
  <c r="M76" i="1" s="1"/>
  <c r="O87" i="1"/>
  <c r="N87" i="1"/>
  <c r="M87" i="1" s="1"/>
  <c r="N147" i="1"/>
  <c r="M147" i="1" s="1"/>
  <c r="N20" i="1"/>
  <c r="N42" i="1"/>
  <c r="M42" i="1" s="1"/>
  <c r="M55" i="1" l="1"/>
  <c r="M20" i="1"/>
  <c r="M6" i="1"/>
  <c r="R4" i="1"/>
  <c r="M116" i="1"/>
  <c r="M122" i="1"/>
  <c r="M127" i="1"/>
  <c r="M77" i="1"/>
  <c r="N141" i="1"/>
  <c r="M141" i="1" s="1"/>
  <c r="P17" i="1" l="1"/>
  <c r="N44" i="1"/>
  <c r="O63" i="1"/>
  <c r="O4" i="1" s="1"/>
  <c r="N63" i="1"/>
  <c r="M63" i="1" s="1"/>
  <c r="Q84" i="1"/>
  <c r="Q4" i="1" s="1"/>
  <c r="P84" i="1"/>
  <c r="M84" i="1"/>
  <c r="M44" i="1" l="1"/>
  <c r="N4" i="1"/>
  <c r="M17" i="1"/>
  <c r="M4" i="1" s="1"/>
  <c r="P4" i="1"/>
</calcChain>
</file>

<file path=xl/sharedStrings.xml><?xml version="1.0" encoding="utf-8"?>
<sst xmlns="http://schemas.openxmlformats.org/spreadsheetml/2006/main" count="1935" uniqueCount="388">
  <si>
    <t>Вид работ (см. вкладку "Справка")</t>
  </si>
  <si>
    <t>Функционал при СРКрС (см. вкладку"Справка")</t>
  </si>
  <si>
    <t>Тип объекта СРКрС (см. вкладку "Справка")</t>
  </si>
  <si>
    <t>Номер в реестре членов СА "КС"</t>
  </si>
  <si>
    <t>ОПФ</t>
  </si>
  <si>
    <t>Наименвание члена СРО</t>
  </si>
  <si>
    <t>Уровень по КФВВ</t>
  </si>
  <si>
    <t>Взнос в КФВВ</t>
  </si>
  <si>
    <t>Уровень
по КФОДО</t>
  </si>
  <si>
    <t>Взнос в КФОДО</t>
  </si>
  <si>
    <t>Состояние права</t>
  </si>
  <si>
    <t>Право на ОКС</t>
  </si>
  <si>
    <t>Право на ООТСиУ</t>
  </si>
  <si>
    <t>Право на ОИАЭ</t>
  </si>
  <si>
    <t>Итого по ф.2.1.8 (и.руб)</t>
  </si>
  <si>
    <t>Строительство</t>
  </si>
  <si>
    <t>Реконструкция</t>
  </si>
  <si>
    <t>Капремонт</t>
  </si>
  <si>
    <t>Снос</t>
  </si>
  <si>
    <t>ТЗ</t>
  </si>
  <si>
    <t>текущий ремонт</t>
  </si>
  <si>
    <t>Регион деятельности (см. вкладку "Справка")</t>
  </si>
  <si>
    <t>1- подготовительные</t>
  </si>
  <si>
    <t>2- земляные</t>
  </si>
  <si>
    <t>3- инж.подготовка тер-и</t>
  </si>
  <si>
    <t>4- инж.защита тер-и</t>
  </si>
  <si>
    <t>5- свайные</t>
  </si>
  <si>
    <t>6- фундаменты и основания</t>
  </si>
  <si>
    <t>7- возведение несущих конструкций</t>
  </si>
  <si>
    <t>8- возв-е наружных ограждающих констр-й</t>
  </si>
  <si>
    <t>9- устройство кровли</t>
  </si>
  <si>
    <t>10- фасадные р-ты</t>
  </si>
  <si>
    <t>11- внутренние отделочные р-ты</t>
  </si>
  <si>
    <t>12- устр-во внутр. сан-тех систем</t>
  </si>
  <si>
    <t>13- уст-во внутр.электротех.систем</t>
  </si>
  <si>
    <t>14- устр-во внут.трубопровод.сис-м</t>
  </si>
  <si>
    <t>15- устр-во внутр.слаботоч.сис-м</t>
  </si>
  <si>
    <t>16- установка подъёма-трансп.обор-я</t>
  </si>
  <si>
    <t>17- монтаж технолог.оборуд-я</t>
  </si>
  <si>
    <t>18- пусконаладочные р-ты</t>
  </si>
  <si>
    <t>19- устр-во наруж.эл.сетей и линий связи</t>
  </si>
  <si>
    <t>20- устр-во наруж.сетей канал-ции</t>
  </si>
  <si>
    <t>21- устр-во наруж.сетей водоснаб-я</t>
  </si>
  <si>
    <t>22- устр-во наруж.сетей теплоснаб-я</t>
  </si>
  <si>
    <t>23- устр-во наруж.сетей гзоснаб-я</t>
  </si>
  <si>
    <t>24- устр-во дорожной одежды автодорог</t>
  </si>
  <si>
    <t>25- обустройчство автодорог</t>
  </si>
  <si>
    <t>26- устр-во верхнего строения ж/д пути</t>
  </si>
  <si>
    <t>27- устр-во трубопроводов</t>
  </si>
  <si>
    <t>28- устр-во переходов сетей и трубопроводов ч/з препят-я</t>
  </si>
  <si>
    <t>29- устр-во туннелей</t>
  </si>
  <si>
    <t>30- устр-во штолен</t>
  </si>
  <si>
    <t>31- устр-во искусст.сооружений</t>
  </si>
  <si>
    <t>32- дноуглубительные и водолазные работы</t>
  </si>
  <si>
    <t>33- гидротехнические р-ты</t>
  </si>
  <si>
    <t>34- благоустройство</t>
  </si>
  <si>
    <t>35- снос</t>
  </si>
  <si>
    <t>техзаказчик</t>
  </si>
  <si>
    <t>1 - застройщик</t>
  </si>
  <si>
    <t>2 - тех.заказчик</t>
  </si>
  <si>
    <t>3 - генподрядчик</t>
  </si>
  <si>
    <t>4 - субподрядчик</t>
  </si>
  <si>
    <t>5 - снос/ демонтаж</t>
  </si>
  <si>
    <t>6 - текущий ремонт</t>
  </si>
  <si>
    <t>7 - иное</t>
  </si>
  <si>
    <t>1 - жильё</t>
  </si>
  <si>
    <t>2 - социальные</t>
  </si>
  <si>
    <t>3 - коммунальные</t>
  </si>
  <si>
    <t>4 - эл.энергетика</t>
  </si>
  <si>
    <t>5 - автодороги, мосты, аэродромы</t>
  </si>
  <si>
    <t>6 - прочие линейные</t>
  </si>
  <si>
    <t>7 - прочие промышленные</t>
  </si>
  <si>
    <t>8 - коммерческие</t>
  </si>
  <si>
    <t>9 - иное</t>
  </si>
  <si>
    <t>Итоговая строка</t>
  </si>
  <si>
    <t>ООО</t>
  </si>
  <si>
    <t>МУП</t>
  </si>
  <si>
    <t>МКУ</t>
  </si>
  <si>
    <t>Министерст</t>
  </si>
  <si>
    <t>АО</t>
  </si>
  <si>
    <t>Отдел</t>
  </si>
  <si>
    <t>ПАО</t>
  </si>
  <si>
    <t>ФГБНУ</t>
  </si>
  <si>
    <t>ИП</t>
  </si>
  <si>
    <t>КГКУ</t>
  </si>
  <si>
    <t>ЗАО</t>
  </si>
  <si>
    <t>МКУ г. Красноярска</t>
  </si>
  <si>
    <t>«ВЕГА»</t>
  </si>
  <si>
    <t>Фирма «БЛИК»</t>
  </si>
  <si>
    <t>«Промстрой»</t>
  </si>
  <si>
    <t>«Абрис»</t>
  </si>
  <si>
    <t>«Электросила»</t>
  </si>
  <si>
    <t>«Стройтэк»</t>
  </si>
  <si>
    <t>«Краспромавтоматика»</t>
  </si>
  <si>
    <t>«МЕНТАЛ-ПЛЮС»</t>
  </si>
  <si>
    <t>«РеНал»</t>
  </si>
  <si>
    <t>СЗ «Альфа»</t>
  </si>
  <si>
    <t>«ССМР»</t>
  </si>
  <si>
    <t>«КСТС»</t>
  </si>
  <si>
    <t>«Сервис-Центр»</t>
  </si>
  <si>
    <t>СК «СовТехноСтрой»</t>
  </si>
  <si>
    <t>«Колорит»</t>
  </si>
  <si>
    <t>«СТМ»</t>
  </si>
  <si>
    <t>«ЛЕГА»</t>
  </si>
  <si>
    <t>ТС</t>
  </si>
  <si>
    <t>СК «Галикон»</t>
  </si>
  <si>
    <t>ИСК «Омега»</t>
  </si>
  <si>
    <t>«Оптимум»</t>
  </si>
  <si>
    <t>«ПКП «Алекс»</t>
  </si>
  <si>
    <t>«Руслан-Строй»</t>
  </si>
  <si>
    <t>«Строитель-6»</t>
  </si>
  <si>
    <t>ПКФ «Комплекс»</t>
  </si>
  <si>
    <t>ПФ "Орион"</t>
  </si>
  <si>
    <t>СК «Аркада 21»</t>
  </si>
  <si>
    <t>ПСК "Сибирь"</t>
  </si>
  <si>
    <t>ПКФ "Теплоучет"</t>
  </si>
  <si>
    <t>«ЭкоСтрой»</t>
  </si>
  <si>
    <t>фирма "Уровень"</t>
  </si>
  <si>
    <t>«АРКАДА»</t>
  </si>
  <si>
    <t>"ИК "РОСА"</t>
  </si>
  <si>
    <t>«ТехПолимерСтрой»</t>
  </si>
  <si>
    <t>«СибМонтажКомплект»</t>
  </si>
  <si>
    <t>«Димона Связь»</t>
  </si>
  <si>
    <t>«Центр-строй»</t>
  </si>
  <si>
    <t>НПО "Пульсар"</t>
  </si>
  <si>
    <t>«ФОН»</t>
  </si>
  <si>
    <t>«Соврудник»</t>
  </si>
  <si>
    <t>«Крипта К»</t>
  </si>
  <si>
    <t>ПКФ "Флик"</t>
  </si>
  <si>
    <t>«Универсал»</t>
  </si>
  <si>
    <t>"СПГ "Ермак"</t>
  </si>
  <si>
    <t>«ХРСУ»</t>
  </si>
  <si>
    <t>«СДС Электро Сервис»</t>
  </si>
  <si>
    <t>«Альпсервис»</t>
  </si>
  <si>
    <t>«СКБ»</t>
  </si>
  <si>
    <t>«ЭКРА-Сибирь»</t>
  </si>
  <si>
    <t>«ССК»</t>
  </si>
  <si>
    <t>"СТРОЙСЕРВИС-2000"</t>
  </si>
  <si>
    <t>«Эско Восток КрК»</t>
  </si>
  <si>
    <t>СК «ТСТ»</t>
  </si>
  <si>
    <t>«Гранит»</t>
  </si>
  <si>
    <t>«Востокстройизыскания»</t>
  </si>
  <si>
    <t>«Теплострой»</t>
  </si>
  <si>
    <t>«АПГ»</t>
  </si>
  <si>
    <t>«РИТЭН»</t>
  </si>
  <si>
    <t>во социальной политики Красноярского края</t>
  </si>
  <si>
    <t>«Автоспецтехника»</t>
  </si>
  <si>
    <t>«СОЮЗ»</t>
  </si>
  <si>
    <t>«Кызылская ТЭЦ»</t>
  </si>
  <si>
    <t>«СибСтрой»</t>
  </si>
  <si>
    <t>«ИСС»</t>
  </si>
  <si>
    <t>Отдел ЖКХ и АСТ</t>
  </si>
  <si>
    <t>«Кратэр»</t>
  </si>
  <si>
    <t>«Газпром морские проекты»</t>
  </si>
  <si>
    <t>«СДК»</t>
  </si>
  <si>
    <t>«КрайДЭО»</t>
  </si>
  <si>
    <t>«СТЭМ»</t>
  </si>
  <si>
    <t>«БЕТА»</t>
  </si>
  <si>
    <t>«ОМИКРОН»</t>
  </si>
  <si>
    <t>«ГК «Сибирьэнергоинжиниринг»</t>
  </si>
  <si>
    <t>«МЭС»</t>
  </si>
  <si>
    <t>«ЦИА»</t>
  </si>
  <si>
    <t>«ПРОММОНТАЖ»</t>
  </si>
  <si>
    <t>«Кратэк»</t>
  </si>
  <si>
    <t>«ДВК»</t>
  </si>
  <si>
    <t>«Промышленная Автоматизация»</t>
  </si>
  <si>
    <t>«ЗСК»</t>
  </si>
  <si>
    <t>«АРКО»</t>
  </si>
  <si>
    <t>"СоюзЛифтМонтаж"</t>
  </si>
  <si>
    <t>«ГМК «Норильский никель»</t>
  </si>
  <si>
    <t>«НЭТО»</t>
  </si>
  <si>
    <t>«Восточная Сибирь»</t>
  </si>
  <si>
    <t>«Контур»</t>
  </si>
  <si>
    <t>«Лифтмонтаж»</t>
  </si>
  <si>
    <t>«Лифт»</t>
  </si>
  <si>
    <t>«Норильскникельремонт»</t>
  </si>
  <si>
    <t>«СВК»</t>
  </si>
  <si>
    <t>СМП "СОЮЗ"</t>
  </si>
  <si>
    <t>НПП ПА-Красноярск</t>
  </si>
  <si>
    <t>«СтройГарант»</t>
  </si>
  <si>
    <t>"ТП "ГЭМ"</t>
  </si>
  <si>
    <t>«СибСтройКом»</t>
  </si>
  <si>
    <t>«БоАЗ»</t>
  </si>
  <si>
    <t>«Терминал Емельяново»</t>
  </si>
  <si>
    <t>«СВР»</t>
  </si>
  <si>
    <t>«Спринг»</t>
  </si>
  <si>
    <t>«Монтехком»</t>
  </si>
  <si>
    <t>«КраМЗ»</t>
  </si>
  <si>
    <t>«Сибирский строитель»</t>
  </si>
  <si>
    <t>УСК «Опора»</t>
  </si>
  <si>
    <t>«Лифтремонт»</t>
  </si>
  <si>
    <t>«Норильсктрансгаз»</t>
  </si>
  <si>
    <t>«Телеком ГХК»</t>
  </si>
  <si>
    <t>«Богучанская ГЭС»</t>
  </si>
  <si>
    <t>«Новоангарский обогатительный комбинат»</t>
  </si>
  <si>
    <t>«АСК»</t>
  </si>
  <si>
    <t>"ФИЦ КНЦ СО РАН, КНЦ СО РАН"</t>
  </si>
  <si>
    <t>СК «Опора»</t>
  </si>
  <si>
    <t>«СПС»</t>
  </si>
  <si>
    <t>Жмулевский Д.А.</t>
  </si>
  <si>
    <t>«СК Витраж»</t>
  </si>
  <si>
    <t>«ПОЛЮС»</t>
  </si>
  <si>
    <t>"ССК "СибМост"</t>
  </si>
  <si>
    <t>«СтройСервис»</t>
  </si>
  <si>
    <t>«ПСМК»</t>
  </si>
  <si>
    <t>«ПСК»</t>
  </si>
  <si>
    <t>«СибЖДРемСтрой»</t>
  </si>
  <si>
    <t>Петухов Вадим Егорович</t>
  </si>
  <si>
    <t>«Гуриати»</t>
  </si>
  <si>
    <t>"АльянсСтройПроект"</t>
  </si>
  <si>
    <t>«Капитальный ремонт»</t>
  </si>
  <si>
    <t>«Горельеф»</t>
  </si>
  <si>
    <t>"ПСК "ВЕКТОР"</t>
  </si>
  <si>
    <t>«Стройуслуги»</t>
  </si>
  <si>
    <t>«СУЭК-Красноярск»</t>
  </si>
  <si>
    <t>«Спектр»</t>
  </si>
  <si>
    <t>«ТЕРМИТ»</t>
  </si>
  <si>
    <t>«КЦС»</t>
  </si>
  <si>
    <t>«ИнноТех Инжиниринг»</t>
  </si>
  <si>
    <t>Петров Константин Владимирович</t>
  </si>
  <si>
    <t>"Собитек"</t>
  </si>
  <si>
    <t>«ВКС»</t>
  </si>
  <si>
    <t>«Техноцентр министерства культуры края»</t>
  </si>
  <si>
    <t>"Строительные системы"</t>
  </si>
  <si>
    <t>"ТАЙМЫРПРОМСТРОЙ"</t>
  </si>
  <si>
    <t>«Строй-Енисей»</t>
  </si>
  <si>
    <t>«ГЕРМАНИЙ»</t>
  </si>
  <si>
    <t>«СК Оникс»</t>
  </si>
  <si>
    <t>«РУБИН»</t>
  </si>
  <si>
    <t>«ЗЕВС»</t>
  </si>
  <si>
    <t>«УРТСЖиМС»</t>
  </si>
  <si>
    <t>«Готика-Строй»</t>
  </si>
  <si>
    <t>«СК «СибМостПроект»</t>
  </si>
  <si>
    <t>«Назаровское»</t>
  </si>
  <si>
    <t>«ОАЗИС»</t>
  </si>
  <si>
    <t>«Строймеханизация»</t>
  </si>
  <si>
    <t>«ПРОМИНЖИНИРИНГ»</t>
  </si>
  <si>
    <t>«ИнТЕГ»</t>
  </si>
  <si>
    <t>«Кровельный мир»</t>
  </si>
  <si>
    <t>«ИНТЕГРА»</t>
  </si>
  <si>
    <t>«ЭквитиПлюс»</t>
  </si>
  <si>
    <t>«Альянс-Строй»</t>
  </si>
  <si>
    <t>СК «Перспектива»</t>
  </si>
  <si>
    <t>«АлгоритмКонсалт»</t>
  </si>
  <si>
    <t>«ЕСК СУЭК»</t>
  </si>
  <si>
    <t>«ЭнергоСпецСтрой»</t>
  </si>
  <si>
    <t>УСК «Альфа»</t>
  </si>
  <si>
    <t>«СРСМ»</t>
  </si>
  <si>
    <t>«АЛЬПСТРОЙ»</t>
  </si>
  <si>
    <t>«СКС»</t>
  </si>
  <si>
    <t>«Союз-Инжиниринг»</t>
  </si>
  <si>
    <t>"СК СТМ"</t>
  </si>
  <si>
    <t>«ДАРТ-СТРОЙ»</t>
  </si>
  <si>
    <t>«БТС-Красноярск»</t>
  </si>
  <si>
    <t>до 500 млн руб. (2 уровень ответственности члена СРО)</t>
  </si>
  <si>
    <t>500 000,00</t>
  </si>
  <si>
    <t>до 3 млрд руб. (3 уровень ответственности члена СРО)</t>
  </si>
  <si>
    <t>4 500 000,00</t>
  </si>
  <si>
    <t>2 500 000,00</t>
  </si>
  <si>
    <t>до 60 млн руб. (1 уровень ответственности члена СРО)</t>
  </si>
  <si>
    <t>100 000,00</t>
  </si>
  <si>
    <t>271 434,02</t>
  </si>
  <si>
    <t>200 000,00</t>
  </si>
  <si>
    <t>300 000,00</t>
  </si>
  <si>
    <t>738 113,40</t>
  </si>
  <si>
    <t>1 600 000,00</t>
  </si>
  <si>
    <t>4 700 000,00</t>
  </si>
  <si>
    <t>319 056,70</t>
  </si>
  <si>
    <t>1 500 000,00</t>
  </si>
  <si>
    <t>519 056,70</t>
  </si>
  <si>
    <t>800 000,00</t>
  </si>
  <si>
    <t>438 113,40</t>
  </si>
  <si>
    <t>свыше 10 млрд руб. (5 уровень ответственности члена СРО)</t>
  </si>
  <si>
    <t>5 000 000,00</t>
  </si>
  <si>
    <t>2 571 434,02</t>
  </si>
  <si>
    <t>до 10 млрд руб. (4 уровень ответственности члена СРО)</t>
  </si>
  <si>
    <t>2 000 000,00</t>
  </si>
  <si>
    <t>7 000 000,00</t>
  </si>
  <si>
    <t>25 000 000,00</t>
  </si>
  <si>
    <t>Действует</t>
  </si>
  <si>
    <t>Да </t>
  </si>
  <si>
    <t>Нет </t>
  </si>
  <si>
    <t>Приостановлено</t>
  </si>
  <si>
    <t>Код
(гр. 21-55)</t>
  </si>
  <si>
    <t>Вид работ</t>
  </si>
  <si>
    <t>№ пп</t>
  </si>
  <si>
    <t xml:space="preserve">Сокращение
(графа 21)
</t>
  </si>
  <si>
    <t>Название региона</t>
  </si>
  <si>
    <t>Код</t>
  </si>
  <si>
    <t>Функционал при СРКрС</t>
  </si>
  <si>
    <t>Подготовительные работы</t>
  </si>
  <si>
    <t>АК</t>
  </si>
  <si>
    <t>Алтайский край</t>
  </si>
  <si>
    <t>Застройщик, самостоятельно осуществляющий СРКрС</t>
  </si>
  <si>
    <t>Земляные работы</t>
  </si>
  <si>
    <t>АмО</t>
  </si>
  <si>
    <t>Амурская область</t>
  </si>
  <si>
    <t>Технический заказчик</t>
  </si>
  <si>
    <t>Инженерная подготовка территории</t>
  </si>
  <si>
    <t>ВологО</t>
  </si>
  <si>
    <t>Вологодская область</t>
  </si>
  <si>
    <t>Генеральный подряд (заключение договора с заказчиком/застройщиком на СРКрС, с субподрядчиками)</t>
  </si>
  <si>
    <t>Инженерная защита территории</t>
  </si>
  <si>
    <t>ЗК</t>
  </si>
  <si>
    <t>Забайкальский край</t>
  </si>
  <si>
    <t>Субподряд на СМР</t>
  </si>
  <si>
    <t>Свайные работы</t>
  </si>
  <si>
    <t>ИО</t>
  </si>
  <si>
    <t>Иркутская область</t>
  </si>
  <si>
    <t>Снос объектов или их частей</t>
  </si>
  <si>
    <t>Устройство фундаментов и оснований</t>
  </si>
  <si>
    <t>КамК</t>
  </si>
  <si>
    <t>Камчатский край</t>
  </si>
  <si>
    <t>Текущий ремонт</t>
  </si>
  <si>
    <t>Возведение несущих конструкций</t>
  </si>
  <si>
    <t>КО</t>
  </si>
  <si>
    <t>Кемеровская область</t>
  </si>
  <si>
    <t>Возведение наружных ограждающих конструкций</t>
  </si>
  <si>
    <t>КК</t>
  </si>
  <si>
    <t>Красноярский край</t>
  </si>
  <si>
    <t>Устройство кровли</t>
  </si>
  <si>
    <t>ПК</t>
  </si>
  <si>
    <t>Приморский край</t>
  </si>
  <si>
    <t>Фасадные работы</t>
  </si>
  <si>
    <t>РБаш</t>
  </si>
  <si>
    <t>Республика Башкортостан</t>
  </si>
  <si>
    <t>Внутренние отделочные работы</t>
  </si>
  <si>
    <t>РБ</t>
  </si>
  <si>
    <t>Республика Бурятия</t>
  </si>
  <si>
    <t>Устройство внутренних санитарно-технических систем</t>
  </si>
  <si>
    <t>РС</t>
  </si>
  <si>
    <t>Республика Саха</t>
  </si>
  <si>
    <t>Устройство внутренних электротехнических систем</t>
  </si>
  <si>
    <t>РТ</t>
  </si>
  <si>
    <t>Республика Тыва</t>
  </si>
  <si>
    <t>Тип объекта, на котором осущетвляется СРКрС</t>
  </si>
  <si>
    <t>Устройство внутренних трубопроводных систем</t>
  </si>
  <si>
    <t>РХ</t>
  </si>
  <si>
    <t>Республика Хакасия</t>
  </si>
  <si>
    <t>Устройство внутренних слаботочных систем</t>
  </si>
  <si>
    <t>СтК</t>
  </si>
  <si>
    <t>Ставропольский край</t>
  </si>
  <si>
    <t>Жилые дома</t>
  </si>
  <si>
    <t>Установка подъемно-транспортного оборудования</t>
  </si>
  <si>
    <t>СамарО</t>
  </si>
  <si>
    <t>Самарская область</t>
  </si>
  <si>
    <t>Объекты социальные (культуры, спорта, здравохранения, образования, науки) органов власти и муниципальных органов</t>
  </si>
  <si>
    <t>Монтаж технологического оборудования</t>
  </si>
  <si>
    <t>СахО</t>
  </si>
  <si>
    <t>Сахалинская область</t>
  </si>
  <si>
    <t>Объекты коммунального хозяйства</t>
  </si>
  <si>
    <t>Пусконаладочные работы</t>
  </si>
  <si>
    <t>СФО</t>
  </si>
  <si>
    <t>Сибирский федеральный округ (10 регионов)</t>
  </si>
  <si>
    <t>Объекты электроэнергетики</t>
  </si>
  <si>
    <t>Устройство наружных электрических сетей и линий связи</t>
  </si>
  <si>
    <t>ТО</t>
  </si>
  <si>
    <t>Томская область</t>
  </si>
  <si>
    <t>Автодороги, мосты, аэродромы</t>
  </si>
  <si>
    <t>Устройство наружных сетей канализации</t>
  </si>
  <si>
    <t>ХК</t>
  </si>
  <si>
    <t>Хабаровский край</t>
  </si>
  <si>
    <t>Иные линейные объекты</t>
  </si>
  <si>
    <t>Устройство наружных сетей водоснабжения</t>
  </si>
  <si>
    <t>ЧО</t>
  </si>
  <si>
    <t>Читинская область</t>
  </si>
  <si>
    <t>Иные промышленные объекты</t>
  </si>
  <si>
    <t>Устройство наружных сетей теплоснабжения</t>
  </si>
  <si>
    <t>ЯНАО</t>
  </si>
  <si>
    <t>Ямало-Ненецкий автономный округ</t>
  </si>
  <si>
    <t>Коммерческая недвижимость</t>
  </si>
  <si>
    <t>Устройство наружных сетей газоснабжения</t>
  </si>
  <si>
    <t>Иное</t>
  </si>
  <si>
    <t>Устройство дорожной одежды автомобильных дорог</t>
  </si>
  <si>
    <t>Работы по обустройству автомобильной дороги</t>
  </si>
  <si>
    <t>Устройство верхнего строения железнодорожного пути</t>
  </si>
  <si>
    <t>Устройство трубопроводов</t>
  </si>
  <si>
    <t>Устройство переходов сетей и трубопроводов через естественные и искусственные препятствия</t>
  </si>
  <si>
    <t>Устройство туннелей</t>
  </si>
  <si>
    <t>Устройство штолен</t>
  </si>
  <si>
    <t>Устройство искусственных сооружений</t>
  </si>
  <si>
    <t>Дноуглубительные и водолазные работы</t>
  </si>
  <si>
    <t>Гидротехнические работы</t>
  </si>
  <si>
    <t>Благоустройство</t>
  </si>
  <si>
    <t>Снос объектов капитального строительства или отдельных его частей.</t>
  </si>
  <si>
    <t>Сведения о членах СА "КС" по отчётам формы 2.1.12, 2.1.8 за 2022 год</t>
  </si>
  <si>
    <t xml:space="preserve"> </t>
  </si>
  <si>
    <t>Наличие права на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</si>
</sst>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₽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Fill="1" applyAlignment="1">
      <alignment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2" fillId="0" borderId="11" xfId="0" applyNumberFormat="1" applyFont="1" applyFill="1" applyBorder="1" applyAlignment="1">
      <alignment horizontal="center" vertical="top" wrapText="1"/>
    </xf>
    <xf numFmtId="164" fontId="2" fillId="0" borderId="11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top" wrapText="1"/>
    </xf>
    <xf numFmtId="0" fontId="2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vertical="top" wrapText="1"/>
    </xf>
    <xf numFmtId="0" fontId="4" fillId="4" borderId="17" xfId="0" applyFont="1" applyFill="1" applyBorder="1" applyAlignment="1">
      <alignment vertical="top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3" borderId="7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vertical="top"/>
    </xf>
    <xf numFmtId="164" fontId="1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0" xfId="0" applyFont="1" applyFill="1"/>
    <xf numFmtId="0" fontId="1" fillId="0" borderId="6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NumberFormat="1" applyFont="1" applyFill="1" applyBorder="1" applyAlignment="1">
      <alignment horizontal="center" vertical="center" textRotation="90" wrapText="1"/>
    </xf>
    <xf numFmtId="0" fontId="1" fillId="0" borderId="7" xfId="0" applyNumberFormat="1" applyFont="1" applyFill="1" applyBorder="1" applyAlignment="1">
      <alignment horizontal="center" vertical="center" textRotation="90" wrapText="1"/>
    </xf>
    <xf numFmtId="0" fontId="1" fillId="0" borderId="8" xfId="0" applyNumberFormat="1" applyFont="1" applyFill="1" applyBorder="1" applyAlignment="1">
      <alignment horizontal="center" vertical="center" textRotation="90" wrapText="1"/>
    </xf>
    <xf numFmtId="0" fontId="1" fillId="0" borderId="9" xfId="0" applyNumberFormat="1" applyFont="1" applyFill="1" applyBorder="1" applyAlignment="1">
      <alignment horizontal="center" vertical="center" textRotation="90" wrapText="1"/>
    </xf>
    <xf numFmtId="0" fontId="1" fillId="0" borderId="4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8" xfId="0" applyFont="1" applyFill="1" applyBorder="1"/>
    <xf numFmtId="0" fontId="1" fillId="5" borderId="18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vertical="top" wrapText="1"/>
    </xf>
    <xf numFmtId="0" fontId="1" fillId="5" borderId="18" xfId="0" applyFont="1" applyFill="1" applyBorder="1"/>
    <xf numFmtId="0" fontId="1" fillId="5" borderId="0" xfId="0" applyFont="1" applyFill="1"/>
    <xf numFmtId="14" fontId="3" fillId="0" borderId="20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72"/>
  <sheetViews>
    <sheetView tabSelected="1" zoomScale="115" zoomScaleNormal="115" workbookViewId="0">
      <pane xSplit="3" ySplit="4" topLeftCell="D73" activePane="bottomRight" state="frozen"/>
      <selection pane="topRight" activeCell="D1" sqref="D1"/>
      <selection pane="bottomLeft" activeCell="A5" sqref="A5"/>
      <selection pane="bottomRight" activeCell="BY75" sqref="BY75"/>
    </sheetView>
  </sheetViews>
  <sheetFormatPr defaultRowHeight="12.75" x14ac:dyDescent="0.2"/>
  <cols>
    <col min="1" max="2" width="9.42578125" style="52" bestFit="1" customWidth="1"/>
    <col min="3" max="3" width="22.28515625" style="52" customWidth="1"/>
    <col min="4" max="4" width="25.7109375" style="52" customWidth="1"/>
    <col min="5" max="5" width="12.7109375" style="52" customWidth="1"/>
    <col min="6" max="6" width="25.7109375" style="52" customWidth="1"/>
    <col min="7" max="7" width="12.7109375" style="52" customWidth="1"/>
    <col min="8" max="11" width="9.42578125" style="52" bestFit="1" customWidth="1"/>
    <col min="12" max="12" width="11.140625" style="52" customWidth="1"/>
    <col min="13" max="13" width="11.85546875" style="52" bestFit="1" customWidth="1"/>
    <col min="14" max="14" width="12.140625" style="52" customWidth="1"/>
    <col min="15" max="15" width="11" style="52" customWidth="1"/>
    <col min="16" max="16" width="10" style="52" customWidth="1"/>
    <col min="17" max="17" width="9.5703125" style="52" customWidth="1"/>
    <col min="18" max="18" width="9.85546875" style="52" customWidth="1"/>
    <col min="19" max="72" width="8.7109375" style="52" customWidth="1"/>
    <col min="73" max="16384" width="9.140625" style="52"/>
  </cols>
  <sheetData>
    <row r="1" spans="1:72" ht="15.75" customHeight="1" thickBot="1" x14ac:dyDescent="0.25">
      <c r="A1" s="1"/>
      <c r="B1" s="1"/>
      <c r="C1" s="45" t="s">
        <v>385</v>
      </c>
      <c r="D1" s="1"/>
      <c r="E1" s="46"/>
      <c r="F1" s="1"/>
      <c r="G1" s="46"/>
      <c r="H1" s="1"/>
      <c r="I1" s="1"/>
      <c r="J1" s="70"/>
      <c r="K1" s="70"/>
      <c r="L1" s="70"/>
      <c r="M1" s="70"/>
      <c r="N1" s="47"/>
      <c r="O1" s="47"/>
      <c r="P1" s="47"/>
      <c r="Q1" s="47"/>
      <c r="R1" s="47"/>
      <c r="S1" s="47"/>
      <c r="T1" s="48"/>
      <c r="U1" s="49" t="s">
        <v>0</v>
      </c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1"/>
      <c r="BE1" s="49" t="s">
        <v>1</v>
      </c>
      <c r="BF1" s="50"/>
      <c r="BG1" s="50"/>
      <c r="BH1" s="50"/>
      <c r="BI1" s="50"/>
      <c r="BJ1" s="50"/>
      <c r="BK1" s="51"/>
      <c r="BL1" s="49" t="s">
        <v>2</v>
      </c>
      <c r="BM1" s="50"/>
      <c r="BN1" s="50"/>
      <c r="BO1" s="50"/>
      <c r="BP1" s="50"/>
      <c r="BQ1" s="50"/>
      <c r="BR1" s="50"/>
      <c r="BS1" s="50"/>
      <c r="BT1" s="51"/>
    </row>
    <row r="2" spans="1:72" ht="131.25" thickBot="1" x14ac:dyDescent="0.25">
      <c r="A2" s="59" t="s">
        <v>3</v>
      </c>
      <c r="B2" s="60" t="s">
        <v>4</v>
      </c>
      <c r="C2" s="60" t="s">
        <v>5</v>
      </c>
      <c r="D2" s="60" t="s">
        <v>6</v>
      </c>
      <c r="E2" s="54" t="s">
        <v>7</v>
      </c>
      <c r="F2" s="60" t="s">
        <v>8</v>
      </c>
      <c r="G2" s="54" t="s">
        <v>9</v>
      </c>
      <c r="H2" s="60" t="s">
        <v>10</v>
      </c>
      <c r="I2" s="60" t="s">
        <v>11</v>
      </c>
      <c r="J2" s="60" t="s">
        <v>12</v>
      </c>
      <c r="K2" s="60" t="s">
        <v>13</v>
      </c>
      <c r="L2" s="54" t="s">
        <v>387</v>
      </c>
      <c r="M2" s="54" t="s">
        <v>14</v>
      </c>
      <c r="N2" s="54" t="s">
        <v>15</v>
      </c>
      <c r="O2" s="54" t="s">
        <v>16</v>
      </c>
      <c r="P2" s="54" t="s">
        <v>17</v>
      </c>
      <c r="Q2" s="54" t="s">
        <v>18</v>
      </c>
      <c r="R2" s="54" t="s">
        <v>19</v>
      </c>
      <c r="S2" s="54" t="s">
        <v>20</v>
      </c>
      <c r="T2" s="55" t="s">
        <v>21</v>
      </c>
      <c r="U2" s="56" t="s">
        <v>22</v>
      </c>
      <c r="V2" s="57" t="s">
        <v>23</v>
      </c>
      <c r="W2" s="57" t="s">
        <v>24</v>
      </c>
      <c r="X2" s="57" t="s">
        <v>25</v>
      </c>
      <c r="Y2" s="57" t="s">
        <v>26</v>
      </c>
      <c r="Z2" s="57" t="s">
        <v>27</v>
      </c>
      <c r="AA2" s="57" t="s">
        <v>28</v>
      </c>
      <c r="AB2" s="57" t="s">
        <v>29</v>
      </c>
      <c r="AC2" s="57" t="s">
        <v>30</v>
      </c>
      <c r="AD2" s="57" t="s">
        <v>31</v>
      </c>
      <c r="AE2" s="57" t="s">
        <v>32</v>
      </c>
      <c r="AF2" s="57" t="s">
        <v>33</v>
      </c>
      <c r="AG2" s="57" t="s">
        <v>34</v>
      </c>
      <c r="AH2" s="57" t="s">
        <v>35</v>
      </c>
      <c r="AI2" s="57" t="s">
        <v>36</v>
      </c>
      <c r="AJ2" s="57" t="s">
        <v>37</v>
      </c>
      <c r="AK2" s="57" t="s">
        <v>38</v>
      </c>
      <c r="AL2" s="57" t="s">
        <v>39</v>
      </c>
      <c r="AM2" s="57" t="s">
        <v>40</v>
      </c>
      <c r="AN2" s="57" t="s">
        <v>41</v>
      </c>
      <c r="AO2" s="57" t="s">
        <v>42</v>
      </c>
      <c r="AP2" s="57" t="s">
        <v>43</v>
      </c>
      <c r="AQ2" s="57" t="s">
        <v>44</v>
      </c>
      <c r="AR2" s="57" t="s">
        <v>45</v>
      </c>
      <c r="AS2" s="57" t="s">
        <v>46</v>
      </c>
      <c r="AT2" s="57" t="s">
        <v>47</v>
      </c>
      <c r="AU2" s="57" t="s">
        <v>48</v>
      </c>
      <c r="AV2" s="57" t="s">
        <v>49</v>
      </c>
      <c r="AW2" s="57" t="s">
        <v>50</v>
      </c>
      <c r="AX2" s="57" t="s">
        <v>51</v>
      </c>
      <c r="AY2" s="57" t="s">
        <v>52</v>
      </c>
      <c r="AZ2" s="57" t="s">
        <v>53</v>
      </c>
      <c r="BA2" s="57" t="s">
        <v>54</v>
      </c>
      <c r="BB2" s="57" t="s">
        <v>55</v>
      </c>
      <c r="BC2" s="57" t="s">
        <v>56</v>
      </c>
      <c r="BD2" s="58" t="s">
        <v>57</v>
      </c>
      <c r="BE2" s="56" t="s">
        <v>58</v>
      </c>
      <c r="BF2" s="57" t="s">
        <v>59</v>
      </c>
      <c r="BG2" s="57" t="s">
        <v>60</v>
      </c>
      <c r="BH2" s="57" t="s">
        <v>61</v>
      </c>
      <c r="BI2" s="57" t="s">
        <v>62</v>
      </c>
      <c r="BJ2" s="57" t="s">
        <v>63</v>
      </c>
      <c r="BK2" s="58" t="s">
        <v>64</v>
      </c>
      <c r="BL2" s="56" t="s">
        <v>65</v>
      </c>
      <c r="BM2" s="57" t="s">
        <v>66</v>
      </c>
      <c r="BN2" s="57" t="s">
        <v>67</v>
      </c>
      <c r="BO2" s="57" t="s">
        <v>68</v>
      </c>
      <c r="BP2" s="57" t="s">
        <v>69</v>
      </c>
      <c r="BQ2" s="57" t="s">
        <v>70</v>
      </c>
      <c r="BR2" s="57" t="s">
        <v>71</v>
      </c>
      <c r="BS2" s="57" t="s">
        <v>72</v>
      </c>
      <c r="BT2" s="58" t="s">
        <v>73</v>
      </c>
    </row>
    <row r="3" spans="1:72" ht="13.5" thickBot="1" x14ac:dyDescent="0.25">
      <c r="A3" s="2">
        <v>1</v>
      </c>
      <c r="B3" s="3">
        <v>2</v>
      </c>
      <c r="C3" s="3">
        <v>3</v>
      </c>
      <c r="D3" s="3">
        <v>4</v>
      </c>
      <c r="E3" s="4">
        <v>5</v>
      </c>
      <c r="F3" s="3">
        <v>6</v>
      </c>
      <c r="G3" s="4">
        <v>7</v>
      </c>
      <c r="H3" s="3">
        <v>8</v>
      </c>
      <c r="I3" s="3">
        <v>9</v>
      </c>
      <c r="J3" s="3">
        <v>10</v>
      </c>
      <c r="K3" s="3">
        <v>11</v>
      </c>
      <c r="L3" s="4">
        <v>12</v>
      </c>
      <c r="M3" s="4">
        <v>13</v>
      </c>
      <c r="N3" s="4">
        <v>14</v>
      </c>
      <c r="O3" s="4">
        <v>15</v>
      </c>
      <c r="P3" s="4">
        <v>16</v>
      </c>
      <c r="Q3" s="4">
        <v>17</v>
      </c>
      <c r="R3" s="4">
        <v>18</v>
      </c>
      <c r="S3" s="4">
        <v>19</v>
      </c>
      <c r="T3" s="5">
        <v>20</v>
      </c>
      <c r="U3" s="2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53">
        <v>56</v>
      </c>
      <c r="BE3" s="2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53">
        <v>63</v>
      </c>
      <c r="BL3" s="2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53">
        <v>72</v>
      </c>
    </row>
    <row r="4" spans="1:72" ht="25.5" x14ac:dyDescent="0.2">
      <c r="A4" s="6" t="s">
        <v>74</v>
      </c>
      <c r="B4" s="6"/>
      <c r="C4" s="6"/>
      <c r="D4" s="6"/>
      <c r="E4" s="7"/>
      <c r="F4" s="6"/>
      <c r="G4" s="7"/>
      <c r="H4" s="7"/>
      <c r="I4" s="6"/>
      <c r="J4" s="6"/>
      <c r="K4" s="6"/>
      <c r="L4" s="8"/>
      <c r="M4" s="7">
        <f>SUM(M5:M172)</f>
        <v>108271706.37018998</v>
      </c>
      <c r="N4" s="7">
        <f>SUM(N5:N172)</f>
        <v>84467481.714300007</v>
      </c>
      <c r="O4" s="7">
        <f t="shared" ref="O4:U4" si="0">SUM(O5:O172)</f>
        <v>5890923.7735300008</v>
      </c>
      <c r="P4" s="7">
        <f t="shared" si="0"/>
        <v>6949402.433360002</v>
      </c>
      <c r="Q4" s="7">
        <f t="shared" si="0"/>
        <v>2097663</v>
      </c>
      <c r="R4" s="7">
        <f t="shared" si="0"/>
        <v>8670715.2089999989</v>
      </c>
      <c r="S4" s="7">
        <f t="shared" si="0"/>
        <v>195520.24</v>
      </c>
      <c r="T4" s="9"/>
      <c r="U4" s="7">
        <f t="shared" si="0"/>
        <v>46</v>
      </c>
      <c r="V4" s="7">
        <f t="shared" ref="V4" si="1">SUM(V5:V172)</f>
        <v>50</v>
      </c>
      <c r="W4" s="7">
        <f t="shared" ref="W4" si="2">SUM(W5:W172)</f>
        <v>25</v>
      </c>
      <c r="X4" s="7">
        <f t="shared" ref="X4" si="3">SUM(X5:X172)</f>
        <v>11</v>
      </c>
      <c r="Y4" s="7">
        <f t="shared" ref="Y4" si="4">SUM(Y5:Y172)</f>
        <v>17</v>
      </c>
      <c r="Z4" s="7">
        <f t="shared" ref="Z4" si="5">SUM(Z5:Z172)</f>
        <v>46</v>
      </c>
      <c r="AA4" s="7">
        <f t="shared" ref="AA4" si="6">SUM(AA5:AA172)</f>
        <v>40</v>
      </c>
      <c r="AB4" s="7">
        <f t="shared" ref="AB4" si="7">SUM(AB5:AB172)</f>
        <v>35</v>
      </c>
      <c r="AC4" s="7">
        <f t="shared" ref="AC4" si="8">SUM(AC5:AC172)</f>
        <v>46</v>
      </c>
      <c r="AD4" s="7">
        <f t="shared" ref="AD4" si="9">SUM(AD5:AD172)</f>
        <v>34</v>
      </c>
      <c r="AE4" s="7">
        <f t="shared" ref="AE4" si="10">SUM(AE5:AE172)</f>
        <v>52</v>
      </c>
      <c r="AF4" s="7">
        <f t="shared" ref="AF4" si="11">SUM(AF5:AF172)</f>
        <v>44</v>
      </c>
      <c r="AG4" s="7">
        <f t="shared" ref="AG4" si="12">SUM(AG5:AG172)</f>
        <v>60</v>
      </c>
      <c r="AH4" s="7">
        <f t="shared" ref="AH4" si="13">SUM(AH5:AH172)</f>
        <v>40</v>
      </c>
      <c r="AI4" s="7">
        <f t="shared" ref="AI4" si="14">SUM(AI5:AI172)</f>
        <v>28</v>
      </c>
      <c r="AJ4" s="7">
        <f t="shared" ref="AJ4" si="15">SUM(AJ5:AJ172)</f>
        <v>16</v>
      </c>
      <c r="AK4" s="7">
        <f t="shared" ref="AK4" si="16">SUM(AK5:AK172)</f>
        <v>48</v>
      </c>
      <c r="AL4" s="7">
        <f t="shared" ref="AL4" si="17">SUM(AL5:AL172)</f>
        <v>55</v>
      </c>
      <c r="AM4" s="7">
        <f t="shared" ref="AM4" si="18">SUM(AM5:AM172)</f>
        <v>29</v>
      </c>
      <c r="AN4" s="7">
        <f t="shared" ref="AN4" si="19">SUM(AN5:AN172)</f>
        <v>25</v>
      </c>
      <c r="AO4" s="7">
        <f t="shared" ref="AO4" si="20">SUM(AO5:AO172)</f>
        <v>28</v>
      </c>
      <c r="AP4" s="7">
        <f t="shared" ref="AP4" si="21">SUM(AP5:AP172)</f>
        <v>22</v>
      </c>
      <c r="AQ4" s="7">
        <f t="shared" ref="AQ4" si="22">SUM(AQ5:AQ172)</f>
        <v>3</v>
      </c>
      <c r="AR4" s="7">
        <f t="shared" ref="AR4" si="23">SUM(AR5:AR172)</f>
        <v>12</v>
      </c>
      <c r="AS4" s="7">
        <f t="shared" ref="AS4" si="24">SUM(AS5:AS172)</f>
        <v>9</v>
      </c>
      <c r="AT4" s="7">
        <f t="shared" ref="AT4" si="25">SUM(AT5:AT172)</f>
        <v>5</v>
      </c>
      <c r="AU4" s="7">
        <f t="shared" ref="AU4" si="26">SUM(AU5:AU172)</f>
        <v>14</v>
      </c>
      <c r="AV4" s="7">
        <f t="shared" ref="AV4" si="27">SUM(AV5:AV172)</f>
        <v>5</v>
      </c>
      <c r="AW4" s="7">
        <f t="shared" ref="AW4" si="28">SUM(AW5:AW172)</f>
        <v>0</v>
      </c>
      <c r="AX4" s="7">
        <f t="shared" ref="AX4" si="29">SUM(AX5:AX172)</f>
        <v>1</v>
      </c>
      <c r="AY4" s="7">
        <f t="shared" ref="AY4" si="30">SUM(AY5:AY172)</f>
        <v>5</v>
      </c>
      <c r="AZ4" s="7">
        <f t="shared" ref="AZ4" si="31">SUM(AZ5:AZ172)</f>
        <v>1</v>
      </c>
      <c r="BA4" s="7">
        <f t="shared" ref="BA4" si="32">SUM(BA5:BA172)</f>
        <v>4</v>
      </c>
      <c r="BB4" s="7">
        <f t="shared" ref="BB4" si="33">SUM(BB5:BB172)</f>
        <v>25</v>
      </c>
      <c r="BC4" s="7">
        <f t="shared" ref="BC4" si="34">SUM(BC5:BC172)</f>
        <v>11</v>
      </c>
      <c r="BD4" s="7">
        <f t="shared" ref="BD4" si="35">SUM(BD5:BD172)</f>
        <v>3</v>
      </c>
      <c r="BE4" s="7">
        <f t="shared" ref="BE4" si="36">SUM(BE5:BE172)</f>
        <v>28</v>
      </c>
      <c r="BF4" s="7">
        <f t="shared" ref="BF4" si="37">SUM(BF5:BF172)</f>
        <v>16</v>
      </c>
      <c r="BG4" s="7">
        <f t="shared" ref="BG4" si="38">SUM(BG5:BG172)</f>
        <v>70</v>
      </c>
      <c r="BH4" s="7">
        <f t="shared" ref="BH4" si="39">SUM(BH5:BH172)</f>
        <v>82</v>
      </c>
      <c r="BI4" s="7">
        <f t="shared" ref="BI4" si="40">SUM(BI5:BI172)</f>
        <v>0</v>
      </c>
      <c r="BJ4" s="7">
        <f t="shared" ref="BJ4" si="41">SUM(BJ5:BJ172)</f>
        <v>50</v>
      </c>
      <c r="BK4" s="7">
        <f t="shared" ref="BK4" si="42">SUM(BK5:BK172)</f>
        <v>6</v>
      </c>
      <c r="BL4" s="7">
        <f t="shared" ref="BL4" si="43">SUM(BL5:BL172)</f>
        <v>41</v>
      </c>
      <c r="BM4" s="7">
        <f t="shared" ref="BM4" si="44">SUM(BM5:BM172)</f>
        <v>43</v>
      </c>
      <c r="BN4" s="7">
        <f t="shared" ref="BN4" si="45">SUM(BN5:BN172)</f>
        <v>32</v>
      </c>
      <c r="BO4" s="7">
        <f t="shared" ref="BO4" si="46">SUM(BO5:BO172)</f>
        <v>0</v>
      </c>
      <c r="BP4" s="7">
        <f t="shared" ref="BP4" si="47">SUM(BP5:BP172)</f>
        <v>10</v>
      </c>
      <c r="BQ4" s="7">
        <f t="shared" ref="BQ4" si="48">SUM(BQ5:BQ172)</f>
        <v>0</v>
      </c>
      <c r="BR4" s="7">
        <f t="shared" ref="BR4" si="49">SUM(BR5:BR172)</f>
        <v>58</v>
      </c>
      <c r="BS4" s="7">
        <f t="shared" ref="BS4" si="50">SUM(BS5:BS172)</f>
        <v>31</v>
      </c>
      <c r="BT4" s="7">
        <f t="shared" ref="BT4" si="51">SUM(BT5:BT172)</f>
        <v>18</v>
      </c>
    </row>
    <row r="5" spans="1:72" s="69" customFormat="1" ht="25.5" x14ac:dyDescent="0.2">
      <c r="A5" s="65">
        <v>11</v>
      </c>
      <c r="B5" s="66" t="s">
        <v>75</v>
      </c>
      <c r="C5" s="67" t="s">
        <v>87</v>
      </c>
      <c r="D5" s="67" t="s">
        <v>254</v>
      </c>
      <c r="E5" s="66" t="s">
        <v>255</v>
      </c>
      <c r="F5" s="67" t="s">
        <v>256</v>
      </c>
      <c r="G5" s="66" t="s">
        <v>257</v>
      </c>
      <c r="H5" s="67" t="s">
        <v>279</v>
      </c>
      <c r="I5" s="65" t="s">
        <v>280</v>
      </c>
      <c r="J5" s="65" t="s">
        <v>280</v>
      </c>
      <c r="K5" s="65" t="s">
        <v>281</v>
      </c>
      <c r="L5" s="65" t="s">
        <v>280</v>
      </c>
      <c r="M5" s="68">
        <f>N5+O5+P5+Q5+R5+S5</f>
        <v>1072194.1499999999</v>
      </c>
      <c r="N5" s="68">
        <f>382218.1+158580.4+278273.38+73463.59+88719.49+90939.19</f>
        <v>1072194.1499999999</v>
      </c>
      <c r="O5" s="68"/>
      <c r="P5" s="68"/>
      <c r="Q5" s="68"/>
      <c r="R5" s="68"/>
      <c r="S5" s="68"/>
      <c r="T5" s="68"/>
      <c r="U5" s="68">
        <v>1</v>
      </c>
      <c r="V5" s="68">
        <v>1</v>
      </c>
      <c r="W5" s="68">
        <v>1</v>
      </c>
      <c r="X5" s="68">
        <v>1</v>
      </c>
      <c r="Y5" s="68">
        <v>1</v>
      </c>
      <c r="Z5" s="68">
        <v>1</v>
      </c>
      <c r="AA5" s="68">
        <v>1</v>
      </c>
      <c r="AB5" s="68">
        <v>1</v>
      </c>
      <c r="AC5" s="68">
        <v>1</v>
      </c>
      <c r="AD5" s="68">
        <v>1</v>
      </c>
      <c r="AE5" s="68">
        <v>1</v>
      </c>
      <c r="AF5" s="68">
        <v>1</v>
      </c>
      <c r="AG5" s="68">
        <v>1</v>
      </c>
      <c r="AH5" s="68">
        <v>1</v>
      </c>
      <c r="AI5" s="68">
        <v>1</v>
      </c>
      <c r="AJ5" s="68">
        <v>1</v>
      </c>
      <c r="AK5" s="68">
        <v>1</v>
      </c>
      <c r="AL5" s="68">
        <v>1</v>
      </c>
      <c r="AM5" s="68">
        <v>1</v>
      </c>
      <c r="AN5" s="68">
        <v>1</v>
      </c>
      <c r="AO5" s="68">
        <v>1</v>
      </c>
      <c r="AP5" s="68">
        <v>1</v>
      </c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>
        <v>1</v>
      </c>
      <c r="BC5" s="68"/>
      <c r="BD5" s="68"/>
      <c r="BE5" s="68"/>
      <c r="BF5" s="68"/>
      <c r="BG5" s="68">
        <v>1</v>
      </c>
      <c r="BH5" s="68"/>
      <c r="BI5" s="68"/>
      <c r="BJ5" s="68"/>
      <c r="BK5" s="68"/>
      <c r="BL5" s="68">
        <v>1</v>
      </c>
      <c r="BM5" s="68">
        <v>1</v>
      </c>
      <c r="BN5" s="68"/>
      <c r="BO5" s="68"/>
      <c r="BP5" s="68"/>
      <c r="BQ5" s="68"/>
      <c r="BR5" s="68"/>
      <c r="BS5" s="68"/>
      <c r="BT5" s="68"/>
    </row>
    <row r="6" spans="1:72" s="69" customFormat="1" ht="25.5" x14ac:dyDescent="0.2">
      <c r="A6" s="65">
        <v>14</v>
      </c>
      <c r="B6" s="66" t="s">
        <v>75</v>
      </c>
      <c r="C6" s="67" t="s">
        <v>88</v>
      </c>
      <c r="D6" s="67" t="s">
        <v>254</v>
      </c>
      <c r="E6" s="66" t="s">
        <v>255</v>
      </c>
      <c r="F6" s="67" t="s">
        <v>254</v>
      </c>
      <c r="G6" s="66" t="s">
        <v>258</v>
      </c>
      <c r="H6" s="67" t="s">
        <v>279</v>
      </c>
      <c r="I6" s="65" t="s">
        <v>280</v>
      </c>
      <c r="J6" s="65" t="s">
        <v>281</v>
      </c>
      <c r="K6" s="65" t="s">
        <v>281</v>
      </c>
      <c r="L6" s="65" t="s">
        <v>280</v>
      </c>
      <c r="M6" s="68">
        <f t="shared" ref="M6:M69" si="52">N6+O6+P6+Q6+R6+S6</f>
        <v>85009.8</v>
      </c>
      <c r="N6" s="68"/>
      <c r="O6" s="68"/>
      <c r="P6" s="68">
        <f>21322.3+26990.5+17203.8+3037.2+11110.6+3842.6+402.4+369.2+149.5+581.7</f>
        <v>85009.8</v>
      </c>
      <c r="Q6" s="68"/>
      <c r="R6" s="68"/>
      <c r="S6" s="68"/>
      <c r="T6" s="68"/>
      <c r="U6" s="68">
        <v>1</v>
      </c>
      <c r="V6" s="68">
        <v>1</v>
      </c>
      <c r="W6" s="68">
        <v>1</v>
      </c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>
        <v>1</v>
      </c>
      <c r="AI6" s="68"/>
      <c r="AJ6" s="68"/>
      <c r="AK6" s="68">
        <v>1</v>
      </c>
      <c r="AL6" s="68">
        <v>1</v>
      </c>
      <c r="AM6" s="68"/>
      <c r="AN6" s="68"/>
      <c r="AO6" s="68">
        <v>1</v>
      </c>
      <c r="AP6" s="68">
        <v>1</v>
      </c>
      <c r="AQ6" s="68"/>
      <c r="AR6" s="68">
        <v>1</v>
      </c>
      <c r="AS6" s="68"/>
      <c r="AT6" s="68"/>
      <c r="AU6" s="68"/>
      <c r="AV6" s="68">
        <v>1</v>
      </c>
      <c r="AW6" s="68"/>
      <c r="AX6" s="68"/>
      <c r="AY6" s="68"/>
      <c r="AZ6" s="68"/>
      <c r="BA6" s="68"/>
      <c r="BB6" s="68">
        <v>1</v>
      </c>
      <c r="BC6" s="68"/>
      <c r="BD6" s="68"/>
      <c r="BE6" s="68"/>
      <c r="BF6" s="68"/>
      <c r="BG6" s="68"/>
      <c r="BH6" s="68">
        <v>1</v>
      </c>
      <c r="BI6" s="68"/>
      <c r="BJ6" s="68">
        <v>1</v>
      </c>
      <c r="BK6" s="68"/>
      <c r="BL6" s="68"/>
      <c r="BM6" s="68"/>
      <c r="BN6" s="68">
        <v>1</v>
      </c>
      <c r="BO6" s="68"/>
      <c r="BP6" s="68"/>
      <c r="BQ6" s="68"/>
      <c r="BR6" s="68"/>
      <c r="BS6" s="68"/>
      <c r="BT6" s="68"/>
    </row>
    <row r="7" spans="1:72" s="69" customFormat="1" ht="25.5" x14ac:dyDescent="0.2">
      <c r="A7" s="65">
        <v>19</v>
      </c>
      <c r="B7" s="66" t="s">
        <v>75</v>
      </c>
      <c r="C7" s="67" t="s">
        <v>89</v>
      </c>
      <c r="D7" s="67" t="s">
        <v>259</v>
      </c>
      <c r="E7" s="66" t="s">
        <v>260</v>
      </c>
      <c r="F7" s="67" t="s">
        <v>259</v>
      </c>
      <c r="G7" s="66" t="s">
        <v>261</v>
      </c>
      <c r="H7" s="67" t="s">
        <v>279</v>
      </c>
      <c r="I7" s="65" t="s">
        <v>280</v>
      </c>
      <c r="J7" s="65" t="s">
        <v>281</v>
      </c>
      <c r="K7" s="65" t="s">
        <v>281</v>
      </c>
      <c r="L7" s="65" t="s">
        <v>280</v>
      </c>
      <c r="M7" s="68">
        <f t="shared" si="52"/>
        <v>35745</v>
      </c>
      <c r="N7" s="68"/>
      <c r="O7" s="68"/>
      <c r="P7" s="68">
        <v>35745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>
        <v>1</v>
      </c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>
        <v>1</v>
      </c>
      <c r="BI7" s="68"/>
      <c r="BJ7" s="68"/>
      <c r="BK7" s="68"/>
      <c r="BL7" s="68"/>
      <c r="BM7" s="68"/>
      <c r="BN7" s="68"/>
      <c r="BO7" s="68"/>
      <c r="BP7" s="68"/>
      <c r="BQ7" s="68"/>
      <c r="BR7" s="68">
        <v>1</v>
      </c>
      <c r="BS7" s="68"/>
      <c r="BT7" s="68"/>
    </row>
    <row r="8" spans="1:72" s="69" customFormat="1" ht="25.5" x14ac:dyDescent="0.2">
      <c r="A8" s="65">
        <v>22</v>
      </c>
      <c r="B8" s="66" t="s">
        <v>75</v>
      </c>
      <c r="C8" s="67" t="s">
        <v>90</v>
      </c>
      <c r="D8" s="67" t="s">
        <v>259</v>
      </c>
      <c r="E8" s="66" t="s">
        <v>260</v>
      </c>
      <c r="F8" s="67" t="s">
        <v>259</v>
      </c>
      <c r="G8" s="66" t="s">
        <v>261</v>
      </c>
      <c r="H8" s="67" t="s">
        <v>279</v>
      </c>
      <c r="I8" s="65" t="s">
        <v>280</v>
      </c>
      <c r="J8" s="65" t="s">
        <v>281</v>
      </c>
      <c r="K8" s="65" t="s">
        <v>281</v>
      </c>
      <c r="L8" s="65" t="s">
        <v>280</v>
      </c>
      <c r="M8" s="68">
        <f t="shared" si="52"/>
        <v>3611.68</v>
      </c>
      <c r="N8" s="68"/>
      <c r="O8" s="68"/>
      <c r="P8" s="68">
        <f>1812.1+1096.08+76.67+483.5</f>
        <v>3468.35</v>
      </c>
      <c r="Q8" s="68"/>
      <c r="R8" s="68">
        <v>143.33000000000001</v>
      </c>
      <c r="S8" s="68"/>
      <c r="T8" s="68"/>
      <c r="U8" s="68">
        <v>1</v>
      </c>
      <c r="V8" s="68"/>
      <c r="W8" s="68"/>
      <c r="X8" s="68"/>
      <c r="Y8" s="68"/>
      <c r="Z8" s="68">
        <v>1</v>
      </c>
      <c r="AA8" s="68"/>
      <c r="AB8" s="68"/>
      <c r="AC8" s="68"/>
      <c r="AD8" s="68">
        <v>1</v>
      </c>
      <c r="AE8" s="68">
        <v>1</v>
      </c>
      <c r="AF8" s="68">
        <v>1</v>
      </c>
      <c r="AG8" s="68">
        <v>1</v>
      </c>
      <c r="AH8" s="68">
        <v>1</v>
      </c>
      <c r="AI8" s="68">
        <v>1</v>
      </c>
      <c r="AJ8" s="68"/>
      <c r="AK8" s="68"/>
      <c r="AL8" s="68">
        <v>1</v>
      </c>
      <c r="AM8" s="68"/>
      <c r="AN8" s="68"/>
      <c r="AO8" s="68"/>
      <c r="AP8" s="68"/>
      <c r="AQ8" s="68"/>
      <c r="AR8" s="68"/>
      <c r="AS8" s="68"/>
      <c r="AT8" s="68">
        <v>1</v>
      </c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>
        <v>1</v>
      </c>
      <c r="BG8" s="68">
        <v>1</v>
      </c>
      <c r="BH8" s="68"/>
      <c r="BI8" s="68"/>
      <c r="BJ8" s="68">
        <v>1</v>
      </c>
      <c r="BK8" s="68"/>
      <c r="BL8" s="68"/>
      <c r="BM8" s="68">
        <v>1</v>
      </c>
      <c r="BN8" s="68"/>
      <c r="BO8" s="68"/>
      <c r="BP8" s="68"/>
      <c r="BQ8" s="68"/>
      <c r="BR8" s="68"/>
      <c r="BS8" s="68"/>
      <c r="BT8" s="68"/>
    </row>
    <row r="9" spans="1:72" ht="25.5" x14ac:dyDescent="0.2">
      <c r="A9" s="61">
        <v>27</v>
      </c>
      <c r="B9" s="62" t="s">
        <v>75</v>
      </c>
      <c r="C9" s="63" t="s">
        <v>91</v>
      </c>
      <c r="D9" s="63" t="s">
        <v>259</v>
      </c>
      <c r="E9" s="62" t="s">
        <v>260</v>
      </c>
      <c r="F9" s="63" t="s">
        <v>259</v>
      </c>
      <c r="G9" s="62" t="s">
        <v>261</v>
      </c>
      <c r="H9" s="63" t="s">
        <v>282</v>
      </c>
      <c r="I9" s="61" t="s">
        <v>280</v>
      </c>
      <c r="J9" s="61" t="s">
        <v>281</v>
      </c>
      <c r="K9" s="61" t="s">
        <v>281</v>
      </c>
      <c r="L9" s="61" t="s">
        <v>280</v>
      </c>
      <c r="M9" s="64">
        <f t="shared" si="52"/>
        <v>0</v>
      </c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</row>
    <row r="10" spans="1:72" s="69" customFormat="1" ht="25.5" x14ac:dyDescent="0.2">
      <c r="A10" s="65">
        <v>28</v>
      </c>
      <c r="B10" s="66" t="s">
        <v>75</v>
      </c>
      <c r="C10" s="67" t="s">
        <v>92</v>
      </c>
      <c r="D10" s="67" t="s">
        <v>259</v>
      </c>
      <c r="E10" s="66" t="s">
        <v>260</v>
      </c>
      <c r="F10" s="67" t="s">
        <v>259</v>
      </c>
      <c r="G10" s="66" t="s">
        <v>261</v>
      </c>
      <c r="H10" s="67" t="s">
        <v>279</v>
      </c>
      <c r="I10" s="65" t="s">
        <v>280</v>
      </c>
      <c r="J10" s="65" t="s">
        <v>281</v>
      </c>
      <c r="K10" s="65" t="s">
        <v>281</v>
      </c>
      <c r="L10" s="65" t="s">
        <v>280</v>
      </c>
      <c r="M10" s="68">
        <f t="shared" si="52"/>
        <v>22302.199000000001</v>
      </c>
      <c r="N10" s="68">
        <f>1962.2+4040.5+1607.46</f>
        <v>7610.16</v>
      </c>
      <c r="O10" s="68"/>
      <c r="P10" s="68">
        <f>3155.197+1507.244+6793.02+1669.466+1567.112</f>
        <v>14692.039000000001</v>
      </c>
      <c r="Q10" s="68"/>
      <c r="R10" s="68"/>
      <c r="S10" s="68"/>
      <c r="T10" s="68"/>
      <c r="U10" s="68">
        <v>1</v>
      </c>
      <c r="V10" s="68">
        <v>1</v>
      </c>
      <c r="W10" s="68"/>
      <c r="X10" s="68"/>
      <c r="Y10" s="68"/>
      <c r="Z10" s="68"/>
      <c r="AA10" s="68"/>
      <c r="AB10" s="68">
        <v>1</v>
      </c>
      <c r="AC10" s="68">
        <v>1</v>
      </c>
      <c r="AD10" s="68">
        <v>1</v>
      </c>
      <c r="AE10" s="68">
        <v>1</v>
      </c>
      <c r="AF10" s="68"/>
      <c r="AG10" s="68">
        <v>1</v>
      </c>
      <c r="AH10" s="68"/>
      <c r="AI10" s="68"/>
      <c r="AJ10" s="68"/>
      <c r="AK10" s="68"/>
      <c r="AL10" s="68"/>
      <c r="AM10" s="68"/>
      <c r="AN10" s="68">
        <v>1</v>
      </c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>
        <v>1</v>
      </c>
      <c r="BC10" s="68"/>
      <c r="BD10" s="68"/>
      <c r="BE10" s="68">
        <v>1</v>
      </c>
      <c r="BF10" s="68"/>
      <c r="BG10" s="68">
        <v>1</v>
      </c>
      <c r="BH10" s="68"/>
      <c r="BI10" s="68"/>
      <c r="BJ10" s="68">
        <v>1</v>
      </c>
      <c r="BK10" s="68"/>
      <c r="BL10" s="68">
        <v>1</v>
      </c>
      <c r="BM10" s="68">
        <v>1</v>
      </c>
      <c r="BN10" s="68">
        <v>1</v>
      </c>
      <c r="BO10" s="68"/>
      <c r="BP10" s="68"/>
      <c r="BQ10" s="68"/>
      <c r="BR10" s="68"/>
      <c r="BS10" s="68"/>
      <c r="BT10" s="68"/>
    </row>
    <row r="11" spans="1:72" s="69" customFormat="1" ht="25.5" x14ac:dyDescent="0.2">
      <c r="A11" s="65">
        <v>29</v>
      </c>
      <c r="B11" s="66" t="s">
        <v>75</v>
      </c>
      <c r="C11" s="67" t="s">
        <v>93</v>
      </c>
      <c r="D11" s="67" t="s">
        <v>259</v>
      </c>
      <c r="E11" s="66" t="s">
        <v>260</v>
      </c>
      <c r="F11" s="67" t="s">
        <v>259</v>
      </c>
      <c r="G11" s="66" t="s">
        <v>261</v>
      </c>
      <c r="H11" s="67" t="s">
        <v>279</v>
      </c>
      <c r="I11" s="65" t="s">
        <v>280</v>
      </c>
      <c r="J11" s="65" t="s">
        <v>280</v>
      </c>
      <c r="K11" s="65" t="s">
        <v>281</v>
      </c>
      <c r="L11" s="65" t="s">
        <v>280</v>
      </c>
      <c r="M11" s="68">
        <f t="shared" si="52"/>
        <v>11273.4</v>
      </c>
      <c r="N11" s="68"/>
      <c r="O11" s="68"/>
      <c r="P11" s="68">
        <f>5475+1617.4+1800+1709+672</f>
        <v>11273.4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>
        <v>1</v>
      </c>
      <c r="AH11" s="68"/>
      <c r="AI11" s="68">
        <v>1</v>
      </c>
      <c r="AJ11" s="68"/>
      <c r="AK11" s="68"/>
      <c r="AL11" s="68">
        <v>1</v>
      </c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>
        <v>1</v>
      </c>
      <c r="BH11" s="68">
        <v>1</v>
      </c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>
        <v>1</v>
      </c>
    </row>
    <row r="12" spans="1:72" s="69" customFormat="1" ht="25.5" x14ac:dyDescent="0.2">
      <c r="A12" s="65">
        <v>35</v>
      </c>
      <c r="B12" s="66" t="s">
        <v>75</v>
      </c>
      <c r="C12" s="67" t="s">
        <v>94</v>
      </c>
      <c r="D12" s="67" t="s">
        <v>254</v>
      </c>
      <c r="E12" s="66" t="s">
        <v>255</v>
      </c>
      <c r="F12" s="67" t="s">
        <v>256</v>
      </c>
      <c r="G12" s="66" t="s">
        <v>257</v>
      </c>
      <c r="H12" s="67" t="s">
        <v>279</v>
      </c>
      <c r="I12" s="65" t="s">
        <v>280</v>
      </c>
      <c r="J12" s="65" t="s">
        <v>280</v>
      </c>
      <c r="K12" s="65" t="s">
        <v>281</v>
      </c>
      <c r="L12" s="65" t="s">
        <v>280</v>
      </c>
      <c r="M12" s="68">
        <f t="shared" si="52"/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</row>
    <row r="13" spans="1:72" s="69" customFormat="1" ht="25.5" x14ac:dyDescent="0.2">
      <c r="A13" s="65">
        <v>36</v>
      </c>
      <c r="B13" s="66" t="s">
        <v>75</v>
      </c>
      <c r="C13" s="67" t="s">
        <v>95</v>
      </c>
      <c r="D13" s="67" t="s">
        <v>259</v>
      </c>
      <c r="E13" s="66" t="s">
        <v>260</v>
      </c>
      <c r="F13" s="67" t="s">
        <v>259</v>
      </c>
      <c r="G13" s="66" t="s">
        <v>261</v>
      </c>
      <c r="H13" s="67" t="s">
        <v>279</v>
      </c>
      <c r="I13" s="65" t="s">
        <v>280</v>
      </c>
      <c r="J13" s="65" t="s">
        <v>280</v>
      </c>
      <c r="K13" s="65" t="s">
        <v>281</v>
      </c>
      <c r="L13" s="65" t="s">
        <v>280</v>
      </c>
      <c r="M13" s="68">
        <f t="shared" si="52"/>
        <v>18692</v>
      </c>
      <c r="N13" s="68">
        <f>2051+1231+317</f>
        <v>3599</v>
      </c>
      <c r="O13" s="68"/>
      <c r="P13" s="68">
        <f>11273+3188+249+222+136+25</f>
        <v>15093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>
        <v>1</v>
      </c>
      <c r="AG13" s="68">
        <v>1</v>
      </c>
      <c r="AH13" s="68"/>
      <c r="AI13" s="68"/>
      <c r="AJ13" s="68"/>
      <c r="AK13" s="68"/>
      <c r="AL13" s="68">
        <v>1</v>
      </c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>
        <v>1</v>
      </c>
      <c r="BH13" s="68">
        <v>1</v>
      </c>
      <c r="BI13" s="68"/>
      <c r="BJ13" s="68">
        <v>1</v>
      </c>
      <c r="BK13" s="68"/>
      <c r="BL13" s="68">
        <v>1</v>
      </c>
      <c r="BM13" s="68"/>
      <c r="BN13" s="68">
        <v>1</v>
      </c>
      <c r="BO13" s="68"/>
      <c r="BP13" s="68"/>
      <c r="BQ13" s="68"/>
      <c r="BR13" s="68">
        <v>1</v>
      </c>
      <c r="BS13" s="68"/>
      <c r="BT13" s="68"/>
    </row>
    <row r="14" spans="1:72" s="69" customFormat="1" ht="25.5" x14ac:dyDescent="0.2">
      <c r="A14" s="65">
        <v>38</v>
      </c>
      <c r="B14" s="66" t="s">
        <v>75</v>
      </c>
      <c r="C14" s="67" t="s">
        <v>96</v>
      </c>
      <c r="D14" s="67" t="s">
        <v>254</v>
      </c>
      <c r="E14" s="66" t="s">
        <v>255</v>
      </c>
      <c r="F14" s="67" t="s">
        <v>259</v>
      </c>
      <c r="G14" s="66" t="s">
        <v>262</v>
      </c>
      <c r="H14" s="67" t="s">
        <v>279</v>
      </c>
      <c r="I14" s="65" t="s">
        <v>280</v>
      </c>
      <c r="J14" s="65" t="s">
        <v>281</v>
      </c>
      <c r="K14" s="65" t="s">
        <v>281</v>
      </c>
      <c r="L14" s="65" t="s">
        <v>280</v>
      </c>
      <c r="M14" s="68">
        <f t="shared" si="52"/>
        <v>1452188.7</v>
      </c>
      <c r="N14" s="68">
        <f>1136050+315778.7</f>
        <v>1451828.7</v>
      </c>
      <c r="O14" s="68"/>
      <c r="P14" s="68"/>
      <c r="Q14" s="68"/>
      <c r="R14" s="68">
        <f>180+180</f>
        <v>360</v>
      </c>
      <c r="S14" s="68"/>
      <c r="T14" s="68"/>
      <c r="U14" s="68">
        <v>1</v>
      </c>
      <c r="V14" s="68">
        <v>1</v>
      </c>
      <c r="W14" s="68">
        <v>1</v>
      </c>
      <c r="X14" s="68">
        <v>1</v>
      </c>
      <c r="Y14" s="68">
        <v>1</v>
      </c>
      <c r="Z14" s="68">
        <v>1</v>
      </c>
      <c r="AA14" s="68">
        <v>1</v>
      </c>
      <c r="AB14" s="68">
        <v>1</v>
      </c>
      <c r="AC14" s="68">
        <v>1</v>
      </c>
      <c r="AD14" s="68">
        <v>1</v>
      </c>
      <c r="AE14" s="68">
        <v>1</v>
      </c>
      <c r="AF14" s="68">
        <v>1</v>
      </c>
      <c r="AG14" s="68">
        <v>1</v>
      </c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>
        <v>1</v>
      </c>
      <c r="BF14" s="68">
        <v>1</v>
      </c>
      <c r="BG14" s="68">
        <v>1</v>
      </c>
      <c r="BH14" s="68"/>
      <c r="BI14" s="68"/>
      <c r="BJ14" s="68"/>
      <c r="BK14" s="68"/>
      <c r="BL14" s="68">
        <v>1</v>
      </c>
      <c r="BM14" s="68">
        <v>1</v>
      </c>
      <c r="BN14" s="68"/>
      <c r="BO14" s="68"/>
      <c r="BP14" s="68"/>
      <c r="BQ14" s="68"/>
      <c r="BR14" s="68"/>
      <c r="BS14" s="68"/>
      <c r="BT14" s="68"/>
    </row>
    <row r="15" spans="1:72" s="69" customFormat="1" ht="25.5" x14ac:dyDescent="0.2">
      <c r="A15" s="65">
        <v>39</v>
      </c>
      <c r="B15" s="66" t="s">
        <v>75</v>
      </c>
      <c r="C15" s="67" t="s">
        <v>97</v>
      </c>
      <c r="D15" s="67" t="s">
        <v>259</v>
      </c>
      <c r="E15" s="66" t="s">
        <v>263</v>
      </c>
      <c r="F15" s="67"/>
      <c r="G15" s="66"/>
      <c r="H15" s="67" t="s">
        <v>279</v>
      </c>
      <c r="I15" s="65" t="s">
        <v>280</v>
      </c>
      <c r="J15" s="65" t="s">
        <v>280</v>
      </c>
      <c r="K15" s="65" t="s">
        <v>281</v>
      </c>
      <c r="L15" s="65" t="s">
        <v>281</v>
      </c>
      <c r="M15" s="68">
        <f t="shared" si="52"/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</row>
    <row r="16" spans="1:72" s="69" customFormat="1" ht="25.5" x14ac:dyDescent="0.2">
      <c r="A16" s="65">
        <v>40</v>
      </c>
      <c r="B16" s="66" t="s">
        <v>75</v>
      </c>
      <c r="C16" s="67" t="s">
        <v>98</v>
      </c>
      <c r="D16" s="67" t="s">
        <v>254</v>
      </c>
      <c r="E16" s="66" t="s">
        <v>255</v>
      </c>
      <c r="F16" s="67" t="s">
        <v>254</v>
      </c>
      <c r="G16" s="66" t="s">
        <v>258</v>
      </c>
      <c r="H16" s="67" t="s">
        <v>279</v>
      </c>
      <c r="I16" s="65" t="s">
        <v>280</v>
      </c>
      <c r="J16" s="65" t="s">
        <v>281</v>
      </c>
      <c r="K16" s="65" t="s">
        <v>281</v>
      </c>
      <c r="L16" s="65" t="s">
        <v>280</v>
      </c>
      <c r="M16" s="68">
        <f t="shared" si="52"/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>
        <v>1</v>
      </c>
      <c r="BH16" s="68"/>
      <c r="BI16" s="68"/>
      <c r="BJ16" s="68"/>
      <c r="BK16" s="68"/>
      <c r="BL16" s="68"/>
      <c r="BM16" s="68">
        <v>1</v>
      </c>
      <c r="BN16" s="68">
        <v>1</v>
      </c>
      <c r="BO16" s="68"/>
      <c r="BP16" s="68"/>
      <c r="BQ16" s="68"/>
      <c r="BR16" s="68"/>
      <c r="BS16" s="68"/>
      <c r="BT16" s="68"/>
    </row>
    <row r="17" spans="1:72" s="69" customFormat="1" ht="25.5" x14ac:dyDescent="0.2">
      <c r="A17" s="65">
        <v>41</v>
      </c>
      <c r="B17" s="66" t="s">
        <v>75</v>
      </c>
      <c r="C17" s="67" t="s">
        <v>99</v>
      </c>
      <c r="D17" s="67" t="s">
        <v>254</v>
      </c>
      <c r="E17" s="66" t="s">
        <v>255</v>
      </c>
      <c r="F17" s="67" t="s">
        <v>254</v>
      </c>
      <c r="G17" s="66" t="s">
        <v>258</v>
      </c>
      <c r="H17" s="67" t="s">
        <v>279</v>
      </c>
      <c r="I17" s="65" t="s">
        <v>280</v>
      </c>
      <c r="J17" s="65" t="s">
        <v>280</v>
      </c>
      <c r="K17" s="65" t="s">
        <v>281</v>
      </c>
      <c r="L17" s="65" t="s">
        <v>280</v>
      </c>
      <c r="M17" s="68">
        <f t="shared" si="52"/>
        <v>247940.8</v>
      </c>
      <c r="N17" s="68"/>
      <c r="O17" s="68"/>
      <c r="P17" s="68">
        <f>247940.8</f>
        <v>247940.8</v>
      </c>
      <c r="Q17" s="68"/>
      <c r="R17" s="68"/>
      <c r="S17" s="68"/>
      <c r="T17" s="68"/>
      <c r="U17" s="68">
        <v>1</v>
      </c>
      <c r="V17" s="68"/>
      <c r="W17" s="68"/>
      <c r="X17" s="68"/>
      <c r="Y17" s="68"/>
      <c r="Z17" s="68"/>
      <c r="AA17" s="68"/>
      <c r="AB17" s="68"/>
      <c r="AC17" s="68">
        <v>1</v>
      </c>
      <c r="AD17" s="68">
        <v>1</v>
      </c>
      <c r="AE17" s="68">
        <v>1</v>
      </c>
      <c r="AF17" s="68">
        <v>1</v>
      </c>
      <c r="AG17" s="68">
        <v>1</v>
      </c>
      <c r="AH17" s="68"/>
      <c r="AI17" s="68"/>
      <c r="AJ17" s="68"/>
      <c r="AK17" s="68">
        <v>1</v>
      </c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>
        <v>1</v>
      </c>
      <c r="BH17" s="68">
        <v>1</v>
      </c>
      <c r="BI17" s="68"/>
      <c r="BJ17" s="68">
        <v>1</v>
      </c>
      <c r="BK17" s="68"/>
      <c r="BL17" s="68"/>
      <c r="BM17" s="68"/>
      <c r="BN17" s="68"/>
      <c r="BO17" s="68"/>
      <c r="BP17" s="68"/>
      <c r="BQ17" s="68"/>
      <c r="BR17" s="68">
        <v>1</v>
      </c>
      <c r="BS17" s="68"/>
      <c r="BT17" s="68"/>
    </row>
    <row r="18" spans="1:72" s="69" customFormat="1" ht="25.5" x14ac:dyDescent="0.2">
      <c r="A18" s="65">
        <v>42</v>
      </c>
      <c r="B18" s="66" t="s">
        <v>75</v>
      </c>
      <c r="C18" s="67" t="s">
        <v>100</v>
      </c>
      <c r="D18" s="67" t="s">
        <v>254</v>
      </c>
      <c r="E18" s="66" t="s">
        <v>255</v>
      </c>
      <c r="F18" s="67" t="s">
        <v>259</v>
      </c>
      <c r="G18" s="66" t="s">
        <v>264</v>
      </c>
      <c r="H18" s="67" t="s">
        <v>282</v>
      </c>
      <c r="I18" s="65" t="s">
        <v>280</v>
      </c>
      <c r="J18" s="65" t="s">
        <v>281</v>
      </c>
      <c r="K18" s="65" t="s">
        <v>281</v>
      </c>
      <c r="L18" s="65" t="s">
        <v>280</v>
      </c>
      <c r="M18" s="68">
        <f t="shared" si="52"/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>
        <v>1</v>
      </c>
      <c r="BH18" s="68">
        <v>1</v>
      </c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>
        <v>1</v>
      </c>
      <c r="BT18" s="68"/>
    </row>
    <row r="19" spans="1:72" s="69" customFormat="1" ht="25.5" x14ac:dyDescent="0.2">
      <c r="A19" s="65">
        <v>51</v>
      </c>
      <c r="B19" s="66" t="s">
        <v>75</v>
      </c>
      <c r="C19" s="67" t="s">
        <v>101</v>
      </c>
      <c r="D19" s="67" t="s">
        <v>259</v>
      </c>
      <c r="E19" s="66" t="s">
        <v>260</v>
      </c>
      <c r="F19" s="67" t="s">
        <v>259</v>
      </c>
      <c r="G19" s="66" t="s">
        <v>261</v>
      </c>
      <c r="H19" s="67" t="s">
        <v>279</v>
      </c>
      <c r="I19" s="65" t="s">
        <v>280</v>
      </c>
      <c r="J19" s="65" t="s">
        <v>281</v>
      </c>
      <c r="K19" s="65" t="s">
        <v>281</v>
      </c>
      <c r="L19" s="65" t="s">
        <v>280</v>
      </c>
      <c r="M19" s="68">
        <f t="shared" si="52"/>
        <v>1762.66</v>
      </c>
      <c r="N19" s="68"/>
      <c r="O19" s="68"/>
      <c r="P19" s="68">
        <v>1762.66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>
        <v>1</v>
      </c>
      <c r="AF19" s="68">
        <v>1</v>
      </c>
      <c r="AG19" s="68">
        <v>1</v>
      </c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>
        <v>1</v>
      </c>
      <c r="BH19" s="68"/>
      <c r="BI19" s="68"/>
      <c r="BJ19" s="68">
        <v>1</v>
      </c>
      <c r="BK19" s="68"/>
      <c r="BL19" s="68"/>
      <c r="BM19" s="68">
        <v>1</v>
      </c>
      <c r="BN19" s="68"/>
      <c r="BO19" s="68"/>
      <c r="BP19" s="68"/>
      <c r="BQ19" s="68"/>
      <c r="BR19" s="68"/>
      <c r="BS19" s="68"/>
      <c r="BT19" s="68"/>
    </row>
    <row r="20" spans="1:72" s="69" customFormat="1" ht="25.5" x14ac:dyDescent="0.2">
      <c r="A20" s="65">
        <v>52</v>
      </c>
      <c r="B20" s="66" t="s">
        <v>75</v>
      </c>
      <c r="C20" s="67" t="s">
        <v>102</v>
      </c>
      <c r="D20" s="67" t="s">
        <v>256</v>
      </c>
      <c r="E20" s="66" t="s">
        <v>265</v>
      </c>
      <c r="F20" s="67" t="s">
        <v>256</v>
      </c>
      <c r="G20" s="66" t="s">
        <v>266</v>
      </c>
      <c r="H20" s="67" t="s">
        <v>279</v>
      </c>
      <c r="I20" s="65" t="s">
        <v>280</v>
      </c>
      <c r="J20" s="65" t="s">
        <v>281</v>
      </c>
      <c r="K20" s="65" t="s">
        <v>281</v>
      </c>
      <c r="L20" s="65" t="s">
        <v>280</v>
      </c>
      <c r="M20" s="68">
        <f t="shared" si="52"/>
        <v>1107454.2029999997</v>
      </c>
      <c r="N20" s="68">
        <f>3559.527+32191.014+18486.004+176.182+766.587+15274.227+212093.796+40380.667+19636.072+276492.891+17080.456+179728.575+17555.937+8064.666+88375.684+32239.177+7017.289+85120.498+35432.633+6421.343+11360.978</f>
        <v>1107454.2029999997</v>
      </c>
      <c r="O20" s="68"/>
      <c r="P20" s="68"/>
      <c r="Q20" s="68"/>
      <c r="R20" s="68"/>
      <c r="S20" s="68"/>
      <c r="T20" s="68"/>
      <c r="U20" s="68"/>
      <c r="V20" s="68">
        <v>1</v>
      </c>
      <c r="W20" s="68"/>
      <c r="X20" s="68"/>
      <c r="Y20" s="68"/>
      <c r="Z20" s="68">
        <v>1</v>
      </c>
      <c r="AA20" s="68">
        <v>1</v>
      </c>
      <c r="AB20" s="68">
        <v>1</v>
      </c>
      <c r="AC20" s="68">
        <v>1</v>
      </c>
      <c r="AD20" s="68">
        <v>1</v>
      </c>
      <c r="AE20" s="68">
        <v>1</v>
      </c>
      <c r="AF20" s="68">
        <v>1</v>
      </c>
      <c r="AG20" s="68">
        <v>1</v>
      </c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>
        <v>1</v>
      </c>
      <c r="BH20" s="68">
        <v>1</v>
      </c>
      <c r="BI20" s="68"/>
      <c r="BJ20" s="68"/>
      <c r="BK20" s="68"/>
      <c r="BL20" s="68">
        <v>1</v>
      </c>
      <c r="BM20" s="68">
        <v>1</v>
      </c>
      <c r="BN20" s="68"/>
      <c r="BO20" s="68"/>
      <c r="BP20" s="68"/>
      <c r="BQ20" s="68"/>
      <c r="BR20" s="68">
        <v>1</v>
      </c>
      <c r="BS20" s="68">
        <v>1</v>
      </c>
      <c r="BT20" s="68"/>
    </row>
    <row r="21" spans="1:72" s="69" customFormat="1" ht="25.5" x14ac:dyDescent="0.2">
      <c r="A21" s="65">
        <v>53</v>
      </c>
      <c r="B21" s="66" t="s">
        <v>75</v>
      </c>
      <c r="C21" s="67" t="s">
        <v>103</v>
      </c>
      <c r="D21" s="67" t="s">
        <v>259</v>
      </c>
      <c r="E21" s="66" t="s">
        <v>263</v>
      </c>
      <c r="F21" s="67" t="s">
        <v>259</v>
      </c>
      <c r="G21" s="66" t="s">
        <v>267</v>
      </c>
      <c r="H21" s="67" t="s">
        <v>279</v>
      </c>
      <c r="I21" s="65" t="s">
        <v>280</v>
      </c>
      <c r="J21" s="65" t="s">
        <v>281</v>
      </c>
      <c r="K21" s="65" t="s">
        <v>281</v>
      </c>
      <c r="L21" s="65" t="s">
        <v>280</v>
      </c>
      <c r="M21" s="68">
        <f t="shared" si="52"/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>
        <v>1</v>
      </c>
      <c r="BK21" s="68"/>
      <c r="BL21" s="68">
        <v>1</v>
      </c>
      <c r="BM21" s="68">
        <v>1</v>
      </c>
      <c r="BN21" s="68"/>
      <c r="BO21" s="68"/>
      <c r="BP21" s="68"/>
      <c r="BQ21" s="68"/>
      <c r="BR21" s="68"/>
      <c r="BS21" s="68"/>
      <c r="BT21" s="68"/>
    </row>
    <row r="22" spans="1:72" s="69" customFormat="1" ht="25.5" x14ac:dyDescent="0.2">
      <c r="A22" s="65">
        <v>55</v>
      </c>
      <c r="B22" s="66" t="s">
        <v>76</v>
      </c>
      <c r="C22" s="67" t="s">
        <v>104</v>
      </c>
      <c r="D22" s="67" t="s">
        <v>259</v>
      </c>
      <c r="E22" s="66" t="s">
        <v>260</v>
      </c>
      <c r="F22" s="67" t="s">
        <v>259</v>
      </c>
      <c r="G22" s="66" t="s">
        <v>261</v>
      </c>
      <c r="H22" s="67" t="s">
        <v>279</v>
      </c>
      <c r="I22" s="65" t="s">
        <v>280</v>
      </c>
      <c r="J22" s="65" t="s">
        <v>281</v>
      </c>
      <c r="K22" s="65" t="s">
        <v>281</v>
      </c>
      <c r="L22" s="65" t="s">
        <v>280</v>
      </c>
      <c r="M22" s="68">
        <f t="shared" si="52"/>
        <v>8513.1679999999997</v>
      </c>
      <c r="N22" s="68">
        <v>8513.1679999999997</v>
      </c>
      <c r="O22" s="68"/>
      <c r="P22" s="68"/>
      <c r="Q22" s="68"/>
      <c r="R22" s="68"/>
      <c r="S22" s="68"/>
      <c r="T22" s="68"/>
      <c r="U22" s="68"/>
      <c r="V22" s="68">
        <v>1</v>
      </c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>
        <v>1</v>
      </c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>
        <v>1</v>
      </c>
      <c r="BF22" s="68">
        <v>1</v>
      </c>
      <c r="BG22" s="68">
        <v>1</v>
      </c>
      <c r="BH22" s="68">
        <v>1</v>
      </c>
      <c r="BI22" s="68"/>
      <c r="BJ22" s="68">
        <v>1</v>
      </c>
      <c r="BK22" s="68"/>
      <c r="BL22" s="68">
        <v>1</v>
      </c>
      <c r="BM22" s="68"/>
      <c r="BN22" s="68">
        <v>1</v>
      </c>
      <c r="BO22" s="68"/>
      <c r="BP22" s="68">
        <v>1</v>
      </c>
      <c r="BQ22" s="68"/>
      <c r="BR22" s="68">
        <v>1</v>
      </c>
      <c r="BS22" s="68"/>
      <c r="BT22" s="68"/>
    </row>
    <row r="23" spans="1:72" s="69" customFormat="1" ht="25.5" x14ac:dyDescent="0.2">
      <c r="A23" s="65">
        <v>56</v>
      </c>
      <c r="B23" s="66" t="s">
        <v>75</v>
      </c>
      <c r="C23" s="67" t="s">
        <v>105</v>
      </c>
      <c r="D23" s="67" t="s">
        <v>256</v>
      </c>
      <c r="E23" s="66" t="s">
        <v>268</v>
      </c>
      <c r="F23" s="67" t="s">
        <v>256</v>
      </c>
      <c r="G23" s="66" t="s">
        <v>257</v>
      </c>
      <c r="H23" s="67" t="s">
        <v>279</v>
      </c>
      <c r="I23" s="65" t="s">
        <v>280</v>
      </c>
      <c r="J23" s="65" t="s">
        <v>281</v>
      </c>
      <c r="K23" s="65" t="s">
        <v>281</v>
      </c>
      <c r="L23" s="65" t="s">
        <v>280</v>
      </c>
      <c r="M23" s="68">
        <f t="shared" si="52"/>
        <v>217103.22</v>
      </c>
      <c r="N23" s="68">
        <f>110271.6</f>
        <v>110271.6</v>
      </c>
      <c r="O23" s="68"/>
      <c r="P23" s="68">
        <v>106831.62</v>
      </c>
      <c r="Q23" s="68"/>
      <c r="R23" s="68"/>
      <c r="S23" s="68"/>
      <c r="T23" s="68"/>
      <c r="U23" s="68">
        <v>1</v>
      </c>
      <c r="V23" s="68">
        <v>1</v>
      </c>
      <c r="W23" s="68">
        <v>1</v>
      </c>
      <c r="X23" s="68"/>
      <c r="Y23" s="68"/>
      <c r="Z23" s="68">
        <v>1</v>
      </c>
      <c r="AA23" s="68">
        <v>1</v>
      </c>
      <c r="AB23" s="68"/>
      <c r="AC23" s="68"/>
      <c r="AD23" s="68"/>
      <c r="AE23" s="68">
        <v>1</v>
      </c>
      <c r="AF23" s="68">
        <v>1</v>
      </c>
      <c r="AG23" s="68">
        <v>1</v>
      </c>
      <c r="AH23" s="68">
        <v>1</v>
      </c>
      <c r="AI23" s="68">
        <v>1</v>
      </c>
      <c r="AJ23" s="68"/>
      <c r="AK23" s="68"/>
      <c r="AL23" s="68">
        <v>1</v>
      </c>
      <c r="AM23" s="68">
        <v>1</v>
      </c>
      <c r="AN23" s="68">
        <v>1</v>
      </c>
      <c r="AO23" s="68">
        <v>1</v>
      </c>
      <c r="AP23" s="68">
        <v>1</v>
      </c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>
        <v>1</v>
      </c>
      <c r="BH23" s="68">
        <v>1</v>
      </c>
      <c r="BI23" s="68"/>
      <c r="BJ23" s="68">
        <v>1</v>
      </c>
      <c r="BK23" s="68"/>
      <c r="BL23" s="68">
        <v>1</v>
      </c>
      <c r="BM23" s="68">
        <v>1</v>
      </c>
      <c r="BN23" s="68">
        <v>1</v>
      </c>
      <c r="BO23" s="68"/>
      <c r="BP23" s="68">
        <v>1</v>
      </c>
      <c r="BQ23" s="68"/>
      <c r="BR23" s="68">
        <v>1</v>
      </c>
      <c r="BS23" s="68">
        <v>1</v>
      </c>
      <c r="BT23" s="68"/>
    </row>
    <row r="24" spans="1:72" ht="25.5" x14ac:dyDescent="0.2">
      <c r="A24" s="61">
        <v>60</v>
      </c>
      <c r="B24" s="62" t="s">
        <v>75</v>
      </c>
      <c r="C24" s="63" t="s">
        <v>106</v>
      </c>
      <c r="D24" s="63" t="s">
        <v>254</v>
      </c>
      <c r="E24" s="62" t="s">
        <v>255</v>
      </c>
      <c r="F24" s="63" t="s">
        <v>254</v>
      </c>
      <c r="G24" s="62" t="s">
        <v>258</v>
      </c>
      <c r="H24" s="63" t="s">
        <v>279</v>
      </c>
      <c r="I24" s="61" t="s">
        <v>280</v>
      </c>
      <c r="J24" s="61" t="s">
        <v>281</v>
      </c>
      <c r="K24" s="61" t="s">
        <v>281</v>
      </c>
      <c r="L24" s="61" t="s">
        <v>280</v>
      </c>
      <c r="M24" s="64">
        <f t="shared" si="52"/>
        <v>0</v>
      </c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</row>
    <row r="25" spans="1:72" s="69" customFormat="1" ht="25.5" x14ac:dyDescent="0.2">
      <c r="A25" s="65">
        <v>62</v>
      </c>
      <c r="B25" s="66" t="s">
        <v>75</v>
      </c>
      <c r="C25" s="67" t="s">
        <v>107</v>
      </c>
      <c r="D25" s="67" t="s">
        <v>256</v>
      </c>
      <c r="E25" s="66" t="s">
        <v>268</v>
      </c>
      <c r="F25" s="67" t="s">
        <v>256</v>
      </c>
      <c r="G25" s="66" t="s">
        <v>257</v>
      </c>
      <c r="H25" s="67" t="s">
        <v>279</v>
      </c>
      <c r="I25" s="65" t="s">
        <v>280</v>
      </c>
      <c r="J25" s="65" t="s">
        <v>281</v>
      </c>
      <c r="K25" s="65" t="s">
        <v>281</v>
      </c>
      <c r="L25" s="65" t="s">
        <v>280</v>
      </c>
      <c r="M25" s="68">
        <f t="shared" si="52"/>
        <v>643554.54</v>
      </c>
      <c r="N25" s="68">
        <v>643554.54</v>
      </c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>
        <v>1</v>
      </c>
      <c r="AB25" s="68">
        <v>1</v>
      </c>
      <c r="AC25" s="68">
        <v>1</v>
      </c>
      <c r="AD25" s="68">
        <v>1</v>
      </c>
      <c r="AE25" s="68">
        <v>1</v>
      </c>
      <c r="AF25" s="68">
        <v>1</v>
      </c>
      <c r="AG25" s="68">
        <v>1</v>
      </c>
      <c r="AH25" s="68">
        <v>1</v>
      </c>
      <c r="AI25" s="68">
        <v>1</v>
      </c>
      <c r="AJ25" s="68">
        <v>1</v>
      </c>
      <c r="AK25" s="68">
        <v>1</v>
      </c>
      <c r="AL25" s="68">
        <v>1</v>
      </c>
      <c r="AM25" s="68">
        <v>1</v>
      </c>
      <c r="AN25" s="68">
        <v>1</v>
      </c>
      <c r="AO25" s="68">
        <v>1</v>
      </c>
      <c r="AP25" s="68"/>
      <c r="AQ25" s="68"/>
      <c r="AR25" s="68">
        <v>1</v>
      </c>
      <c r="AS25" s="68">
        <v>1</v>
      </c>
      <c r="AT25" s="68"/>
      <c r="AU25" s="68"/>
      <c r="AV25" s="68"/>
      <c r="AW25" s="68"/>
      <c r="AX25" s="68"/>
      <c r="AY25" s="68"/>
      <c r="AZ25" s="68"/>
      <c r="BA25" s="68"/>
      <c r="BB25" s="68">
        <v>1</v>
      </c>
      <c r="BC25" s="68"/>
      <c r="BD25" s="68"/>
      <c r="BE25" s="68"/>
      <c r="BF25" s="68"/>
      <c r="BG25" s="68">
        <v>1</v>
      </c>
      <c r="BH25" s="68">
        <v>1</v>
      </c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</row>
    <row r="26" spans="1:72" s="69" customFormat="1" ht="25.5" x14ac:dyDescent="0.2">
      <c r="A26" s="65">
        <v>69</v>
      </c>
      <c r="B26" s="66" t="s">
        <v>75</v>
      </c>
      <c r="C26" s="67" t="s">
        <v>108</v>
      </c>
      <c r="D26" s="67" t="s">
        <v>259</v>
      </c>
      <c r="E26" s="66" t="s">
        <v>260</v>
      </c>
      <c r="F26" s="67" t="s">
        <v>259</v>
      </c>
      <c r="G26" s="66" t="s">
        <v>269</v>
      </c>
      <c r="H26" s="67" t="s">
        <v>279</v>
      </c>
      <c r="I26" s="65" t="s">
        <v>280</v>
      </c>
      <c r="J26" s="65" t="s">
        <v>280</v>
      </c>
      <c r="K26" s="65" t="s">
        <v>281</v>
      </c>
      <c r="L26" s="65" t="s">
        <v>280</v>
      </c>
      <c r="M26" s="68">
        <f t="shared" si="52"/>
        <v>43958</v>
      </c>
      <c r="N26" s="68"/>
      <c r="O26" s="68"/>
      <c r="P26" s="68"/>
      <c r="Q26" s="68"/>
      <c r="R26" s="68"/>
      <c r="S26" s="68">
        <v>43958</v>
      </c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>
        <v>1</v>
      </c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>
        <v>1</v>
      </c>
      <c r="BK26" s="68"/>
      <c r="BL26" s="68"/>
      <c r="BM26" s="68"/>
      <c r="BN26" s="68"/>
      <c r="BO26" s="68"/>
      <c r="BP26" s="68"/>
      <c r="BQ26" s="68"/>
      <c r="BR26" s="68">
        <v>1</v>
      </c>
      <c r="BS26" s="68"/>
      <c r="BT26" s="68"/>
    </row>
    <row r="27" spans="1:72" ht="25.5" x14ac:dyDescent="0.2">
      <c r="A27" s="61">
        <v>76</v>
      </c>
      <c r="B27" s="62" t="s">
        <v>75</v>
      </c>
      <c r="C27" s="63" t="s">
        <v>109</v>
      </c>
      <c r="D27" s="63" t="s">
        <v>254</v>
      </c>
      <c r="E27" s="62" t="s">
        <v>270</v>
      </c>
      <c r="F27" s="63" t="s">
        <v>259</v>
      </c>
      <c r="G27" s="62" t="s">
        <v>271</v>
      </c>
      <c r="H27" s="63" t="s">
        <v>279</v>
      </c>
      <c r="I27" s="61" t="s">
        <v>280</v>
      </c>
      <c r="J27" s="61" t="s">
        <v>280</v>
      </c>
      <c r="K27" s="61" t="s">
        <v>281</v>
      </c>
      <c r="L27" s="61" t="s">
        <v>280</v>
      </c>
      <c r="M27" s="64">
        <f t="shared" si="52"/>
        <v>0</v>
      </c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</row>
    <row r="28" spans="1:72" s="69" customFormat="1" ht="25.5" x14ac:dyDescent="0.2">
      <c r="A28" s="65">
        <v>77</v>
      </c>
      <c r="B28" s="66" t="s">
        <v>75</v>
      </c>
      <c r="C28" s="67" t="s">
        <v>110</v>
      </c>
      <c r="D28" s="67" t="s">
        <v>259</v>
      </c>
      <c r="E28" s="66" t="s">
        <v>263</v>
      </c>
      <c r="F28" s="67"/>
      <c r="G28" s="66"/>
      <c r="H28" s="67" t="s">
        <v>279</v>
      </c>
      <c r="I28" s="65" t="s">
        <v>280</v>
      </c>
      <c r="J28" s="65" t="s">
        <v>281</v>
      </c>
      <c r="K28" s="65" t="s">
        <v>281</v>
      </c>
      <c r="L28" s="65" t="s">
        <v>281</v>
      </c>
      <c r="M28" s="68">
        <f t="shared" si="52"/>
        <v>3041</v>
      </c>
      <c r="N28" s="68">
        <v>3041</v>
      </c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>
        <v>1</v>
      </c>
      <c r="AA28" s="68"/>
      <c r="AB28" s="68"/>
      <c r="AC28" s="68"/>
      <c r="AD28" s="68"/>
      <c r="AE28" s="68">
        <v>1</v>
      </c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>
        <v>1</v>
      </c>
      <c r="BH28" s="68"/>
      <c r="BI28" s="68"/>
      <c r="BJ28" s="68"/>
      <c r="BK28" s="68"/>
      <c r="BL28" s="68">
        <v>1</v>
      </c>
      <c r="BM28" s="68"/>
      <c r="BN28" s="68"/>
      <c r="BO28" s="68"/>
      <c r="BP28" s="68"/>
      <c r="BQ28" s="68"/>
      <c r="BR28" s="68"/>
      <c r="BS28" s="68"/>
      <c r="BT28" s="68"/>
    </row>
    <row r="29" spans="1:72" s="69" customFormat="1" ht="25.5" x14ac:dyDescent="0.2">
      <c r="A29" s="65">
        <v>79</v>
      </c>
      <c r="B29" s="66" t="s">
        <v>75</v>
      </c>
      <c r="C29" s="67" t="s">
        <v>111</v>
      </c>
      <c r="D29" s="67" t="s">
        <v>254</v>
      </c>
      <c r="E29" s="66" t="s">
        <v>255</v>
      </c>
      <c r="F29" s="67" t="s">
        <v>259</v>
      </c>
      <c r="G29" s="66" t="s">
        <v>264</v>
      </c>
      <c r="H29" s="67" t="s">
        <v>279</v>
      </c>
      <c r="I29" s="65" t="s">
        <v>280</v>
      </c>
      <c r="J29" s="65" t="s">
        <v>281</v>
      </c>
      <c r="K29" s="65" t="s">
        <v>281</v>
      </c>
      <c r="L29" s="65" t="s">
        <v>280</v>
      </c>
      <c r="M29" s="68">
        <f t="shared" si="52"/>
        <v>410.81</v>
      </c>
      <c r="N29" s="68"/>
      <c r="O29" s="68"/>
      <c r="P29" s="68">
        <f>275.81+135</f>
        <v>410.81</v>
      </c>
      <c r="Q29" s="68"/>
      <c r="R29" s="68"/>
      <c r="S29" s="68"/>
      <c r="T29" s="68"/>
      <c r="U29" s="68"/>
      <c r="V29" s="68"/>
      <c r="W29" s="68"/>
      <c r="X29" s="68"/>
      <c r="Y29" s="68"/>
      <c r="Z29" s="68">
        <v>1</v>
      </c>
      <c r="AA29" s="68"/>
      <c r="AB29" s="68"/>
      <c r="AC29" s="68"/>
      <c r="AD29" s="68"/>
      <c r="AE29" s="68">
        <v>1</v>
      </c>
      <c r="AF29" s="68"/>
      <c r="AG29" s="68">
        <v>1</v>
      </c>
      <c r="AH29" s="68">
        <v>1</v>
      </c>
      <c r="AI29" s="68">
        <v>1</v>
      </c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>
        <v>1</v>
      </c>
      <c r="BH29" s="68">
        <v>1</v>
      </c>
      <c r="BI29" s="68"/>
      <c r="BJ29" s="68">
        <v>1</v>
      </c>
      <c r="BK29" s="68"/>
      <c r="BL29" s="68"/>
      <c r="BM29" s="68">
        <v>1</v>
      </c>
      <c r="BN29" s="68"/>
      <c r="BO29" s="68"/>
      <c r="BP29" s="68"/>
      <c r="BQ29" s="68"/>
      <c r="BR29" s="68">
        <v>1</v>
      </c>
      <c r="BS29" s="68">
        <v>1</v>
      </c>
      <c r="BT29" s="68"/>
    </row>
    <row r="30" spans="1:72" s="69" customFormat="1" ht="25.5" x14ac:dyDescent="0.2">
      <c r="A30" s="65">
        <v>85</v>
      </c>
      <c r="B30" s="66" t="s">
        <v>75</v>
      </c>
      <c r="C30" s="67" t="s">
        <v>112</v>
      </c>
      <c r="D30" s="67" t="s">
        <v>259</v>
      </c>
      <c r="E30" s="66" t="s">
        <v>260</v>
      </c>
      <c r="F30" s="67" t="s">
        <v>259</v>
      </c>
      <c r="G30" s="66" t="s">
        <v>261</v>
      </c>
      <c r="H30" s="67" t="s">
        <v>279</v>
      </c>
      <c r="I30" s="65" t="s">
        <v>280</v>
      </c>
      <c r="J30" s="65" t="s">
        <v>280</v>
      </c>
      <c r="K30" s="65" t="s">
        <v>281</v>
      </c>
      <c r="L30" s="65" t="s">
        <v>280</v>
      </c>
      <c r="M30" s="68">
        <f t="shared" si="52"/>
        <v>12212.78</v>
      </c>
      <c r="N30" s="68">
        <f>103.9+10433.86</f>
        <v>10537.76</v>
      </c>
      <c r="O30" s="68">
        <f>810.55+282.14</f>
        <v>1092.69</v>
      </c>
      <c r="P30" s="68">
        <f>582.33</f>
        <v>582.33000000000004</v>
      </c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>
        <v>1</v>
      </c>
      <c r="BI30" s="68"/>
      <c r="BJ30" s="68"/>
      <c r="BK30" s="68"/>
      <c r="BL30" s="68">
        <v>1</v>
      </c>
      <c r="BM30" s="68"/>
      <c r="BN30" s="68"/>
      <c r="BO30" s="68"/>
      <c r="BP30" s="68"/>
      <c r="BQ30" s="68"/>
      <c r="BR30" s="68">
        <v>1</v>
      </c>
      <c r="BS30" s="68">
        <v>1</v>
      </c>
      <c r="BT30" s="68"/>
    </row>
    <row r="31" spans="1:72" s="69" customFormat="1" ht="25.5" x14ac:dyDescent="0.2">
      <c r="A31" s="65">
        <v>86</v>
      </c>
      <c r="B31" s="66" t="s">
        <v>75</v>
      </c>
      <c r="C31" s="67" t="s">
        <v>113</v>
      </c>
      <c r="D31" s="67" t="s">
        <v>256</v>
      </c>
      <c r="E31" s="66" t="s">
        <v>268</v>
      </c>
      <c r="F31" s="67" t="s">
        <v>256</v>
      </c>
      <c r="G31" s="66" t="s">
        <v>257</v>
      </c>
      <c r="H31" s="67" t="s">
        <v>279</v>
      </c>
      <c r="I31" s="65" t="s">
        <v>280</v>
      </c>
      <c r="J31" s="65" t="s">
        <v>281</v>
      </c>
      <c r="K31" s="65" t="s">
        <v>281</v>
      </c>
      <c r="L31" s="65" t="s">
        <v>280</v>
      </c>
      <c r="M31" s="68">
        <f t="shared" si="52"/>
        <v>514710.23564999999</v>
      </c>
      <c r="N31" s="68">
        <f>45391.86939+21354.8384+154489.428+11558.678+9328.645+5000+9887.861+27773.84786</f>
        <v>284785.16765000002</v>
      </c>
      <c r="O31" s="68">
        <v>50845.714</v>
      </c>
      <c r="P31" s="68">
        <v>179079.35399999999</v>
      </c>
      <c r="Q31" s="68"/>
      <c r="R31" s="68"/>
      <c r="S31" s="68"/>
      <c r="T31" s="68"/>
      <c r="U31" s="68">
        <v>1</v>
      </c>
      <c r="V31" s="68">
        <v>1</v>
      </c>
      <c r="W31" s="68">
        <v>1</v>
      </c>
      <c r="X31" s="68"/>
      <c r="Y31" s="68"/>
      <c r="Z31" s="68">
        <v>1</v>
      </c>
      <c r="AA31" s="68">
        <v>1</v>
      </c>
      <c r="AB31" s="68">
        <v>1</v>
      </c>
      <c r="AC31" s="68">
        <v>1</v>
      </c>
      <c r="AD31" s="68">
        <v>1</v>
      </c>
      <c r="AE31" s="68">
        <v>1</v>
      </c>
      <c r="AF31" s="68">
        <v>1</v>
      </c>
      <c r="AG31" s="68">
        <v>1</v>
      </c>
      <c r="AH31" s="68">
        <v>1</v>
      </c>
      <c r="AI31" s="68">
        <v>1</v>
      </c>
      <c r="AJ31" s="68"/>
      <c r="AK31" s="68">
        <v>1</v>
      </c>
      <c r="AL31" s="68">
        <v>1</v>
      </c>
      <c r="AM31" s="68"/>
      <c r="AN31" s="68">
        <v>1</v>
      </c>
      <c r="AO31" s="68">
        <v>1</v>
      </c>
      <c r="AP31" s="68">
        <v>1</v>
      </c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>
        <v>1</v>
      </c>
      <c r="BC31" s="68">
        <v>1</v>
      </c>
      <c r="BD31" s="68"/>
      <c r="BE31" s="68"/>
      <c r="BF31" s="68"/>
      <c r="BG31" s="68">
        <v>1</v>
      </c>
      <c r="BH31" s="68">
        <v>1</v>
      </c>
      <c r="BI31" s="68"/>
      <c r="BJ31" s="68"/>
      <c r="BK31" s="68"/>
      <c r="BL31" s="68"/>
      <c r="BM31" s="68">
        <v>1</v>
      </c>
      <c r="BN31" s="68"/>
      <c r="BO31" s="68"/>
      <c r="BP31" s="68"/>
      <c r="BQ31" s="68"/>
      <c r="BR31" s="68"/>
      <c r="BS31" s="68"/>
      <c r="BT31" s="68"/>
    </row>
    <row r="32" spans="1:72" s="69" customFormat="1" ht="25.5" x14ac:dyDescent="0.2">
      <c r="A32" s="65">
        <v>88</v>
      </c>
      <c r="B32" s="66" t="s">
        <v>75</v>
      </c>
      <c r="C32" s="67" t="s">
        <v>114</v>
      </c>
      <c r="D32" s="67" t="s">
        <v>259</v>
      </c>
      <c r="E32" s="66" t="s">
        <v>260</v>
      </c>
      <c r="F32" s="67" t="s">
        <v>259</v>
      </c>
      <c r="G32" s="66" t="s">
        <v>262</v>
      </c>
      <c r="H32" s="67" t="s">
        <v>279</v>
      </c>
      <c r="I32" s="65" t="s">
        <v>280</v>
      </c>
      <c r="J32" s="65" t="s">
        <v>281</v>
      </c>
      <c r="K32" s="65" t="s">
        <v>281</v>
      </c>
      <c r="L32" s="65" t="s">
        <v>280</v>
      </c>
      <c r="M32" s="68">
        <f t="shared" si="52"/>
        <v>0</v>
      </c>
      <c r="N32" s="68">
        <v>0</v>
      </c>
      <c r="O32" s="68">
        <v>0</v>
      </c>
      <c r="P32" s="68">
        <v>0</v>
      </c>
      <c r="Q32" s="68">
        <v>0</v>
      </c>
      <c r="R32" s="68">
        <v>0</v>
      </c>
      <c r="S32" s="68">
        <v>0</v>
      </c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>
        <v>1</v>
      </c>
      <c r="BI32" s="68"/>
      <c r="BJ32" s="68">
        <v>1</v>
      </c>
      <c r="BK32" s="68"/>
      <c r="BL32" s="68"/>
      <c r="BM32" s="68">
        <v>1</v>
      </c>
      <c r="BN32" s="68"/>
      <c r="BO32" s="68"/>
      <c r="BP32" s="68"/>
      <c r="BQ32" s="68"/>
      <c r="BR32" s="68"/>
      <c r="BS32" s="68">
        <v>1</v>
      </c>
      <c r="BT32" s="68"/>
    </row>
    <row r="33" spans="1:72" s="69" customFormat="1" ht="25.5" x14ac:dyDescent="0.2">
      <c r="A33" s="65">
        <v>101</v>
      </c>
      <c r="B33" s="66" t="s">
        <v>75</v>
      </c>
      <c r="C33" s="67" t="s">
        <v>115</v>
      </c>
      <c r="D33" s="67" t="s">
        <v>259</v>
      </c>
      <c r="E33" s="66" t="s">
        <v>260</v>
      </c>
      <c r="F33" s="67" t="s">
        <v>259</v>
      </c>
      <c r="G33" s="66" t="s">
        <v>261</v>
      </c>
      <c r="H33" s="67" t="s">
        <v>279</v>
      </c>
      <c r="I33" s="65" t="s">
        <v>280</v>
      </c>
      <c r="J33" s="65" t="s">
        <v>281</v>
      </c>
      <c r="K33" s="65" t="s">
        <v>281</v>
      </c>
      <c r="L33" s="65" t="s">
        <v>280</v>
      </c>
      <c r="M33" s="68">
        <f t="shared" si="52"/>
        <v>76907.28</v>
      </c>
      <c r="N33" s="68"/>
      <c r="O33" s="68"/>
      <c r="P33" s="68">
        <f>4933.87+3326.66+3467.42+5969.25+6193.58+6363.48+5431.63+6768.18+1431.88+33021.33</f>
        <v>76907.28</v>
      </c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>
        <v>1</v>
      </c>
      <c r="AH33" s="68">
        <v>1</v>
      </c>
      <c r="AI33" s="68">
        <v>1</v>
      </c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>
        <v>1</v>
      </c>
      <c r="BH33" s="68"/>
      <c r="BI33" s="68"/>
      <c r="BJ33" s="68"/>
      <c r="BK33" s="68"/>
      <c r="BL33" s="68">
        <v>1</v>
      </c>
      <c r="BM33" s="68"/>
      <c r="BN33" s="68"/>
      <c r="BO33" s="68"/>
      <c r="BP33" s="68"/>
      <c r="BQ33" s="68"/>
      <c r="BR33" s="68"/>
      <c r="BS33" s="68"/>
      <c r="BT33" s="68"/>
    </row>
    <row r="34" spans="1:72" s="69" customFormat="1" ht="25.5" x14ac:dyDescent="0.2">
      <c r="A34" s="65">
        <v>102</v>
      </c>
      <c r="B34" s="66" t="s">
        <v>75</v>
      </c>
      <c r="C34" s="67" t="s">
        <v>116</v>
      </c>
      <c r="D34" s="67" t="s">
        <v>254</v>
      </c>
      <c r="E34" s="66" t="s">
        <v>270</v>
      </c>
      <c r="F34" s="67" t="s">
        <v>259</v>
      </c>
      <c r="G34" s="66" t="s">
        <v>271</v>
      </c>
      <c r="H34" s="67" t="s">
        <v>279</v>
      </c>
      <c r="I34" s="65" t="s">
        <v>280</v>
      </c>
      <c r="J34" s="65" t="s">
        <v>281</v>
      </c>
      <c r="K34" s="65" t="s">
        <v>281</v>
      </c>
      <c r="L34" s="65" t="s">
        <v>280</v>
      </c>
      <c r="M34" s="68">
        <f t="shared" si="52"/>
        <v>8047.5999999999995</v>
      </c>
      <c r="N34" s="68">
        <f>1652.3+55+42.8+467.2+1174.8+879.1+250.9+328+3055.8</f>
        <v>7905.9</v>
      </c>
      <c r="O34" s="68"/>
      <c r="P34" s="68">
        <f>141.7</f>
        <v>141.69999999999999</v>
      </c>
      <c r="Q34" s="68"/>
      <c r="R34" s="68"/>
      <c r="S34" s="68"/>
      <c r="T34" s="68"/>
      <c r="U34" s="68">
        <v>1</v>
      </c>
      <c r="V34" s="68">
        <v>1</v>
      </c>
      <c r="W34" s="68">
        <v>1</v>
      </c>
      <c r="X34" s="68">
        <v>1</v>
      </c>
      <c r="Y34" s="68">
        <v>1</v>
      </c>
      <c r="Z34" s="68">
        <v>1</v>
      </c>
      <c r="AA34" s="68">
        <v>1</v>
      </c>
      <c r="AB34" s="68"/>
      <c r="AC34" s="68">
        <v>1</v>
      </c>
      <c r="AD34" s="68">
        <v>1</v>
      </c>
      <c r="AE34" s="68">
        <v>1</v>
      </c>
      <c r="AF34" s="68">
        <v>1</v>
      </c>
      <c r="AG34" s="68"/>
      <c r="AH34" s="68">
        <v>1</v>
      </c>
      <c r="AI34" s="68"/>
      <c r="AJ34" s="68"/>
      <c r="AK34" s="68"/>
      <c r="AL34" s="68">
        <v>1</v>
      </c>
      <c r="AM34" s="68"/>
      <c r="AN34" s="68">
        <v>1</v>
      </c>
      <c r="AO34" s="68">
        <v>1</v>
      </c>
      <c r="AP34" s="68">
        <v>1</v>
      </c>
      <c r="AQ34" s="68"/>
      <c r="AR34" s="68"/>
      <c r="AS34" s="68">
        <v>1</v>
      </c>
      <c r="AT34" s="68"/>
      <c r="AU34" s="68">
        <v>1</v>
      </c>
      <c r="AV34" s="68">
        <v>1</v>
      </c>
      <c r="AW34" s="68"/>
      <c r="AX34" s="68"/>
      <c r="AY34" s="68"/>
      <c r="AZ34" s="68"/>
      <c r="BA34" s="68"/>
      <c r="BB34" s="68"/>
      <c r="BC34" s="68">
        <v>1</v>
      </c>
      <c r="BD34" s="68"/>
      <c r="BE34" s="68"/>
      <c r="BF34" s="68"/>
      <c r="BG34" s="68"/>
      <c r="BH34" s="68">
        <v>1</v>
      </c>
      <c r="BI34" s="68"/>
      <c r="BJ34" s="68"/>
      <c r="BK34" s="68"/>
      <c r="BL34" s="68">
        <v>1</v>
      </c>
      <c r="BM34" s="68"/>
      <c r="BN34" s="68"/>
      <c r="BO34" s="68"/>
      <c r="BP34" s="68"/>
      <c r="BQ34" s="68"/>
      <c r="BR34" s="68">
        <v>1</v>
      </c>
      <c r="BS34" s="68">
        <v>1</v>
      </c>
      <c r="BT34" s="68"/>
    </row>
    <row r="35" spans="1:72" s="69" customFormat="1" ht="25.5" x14ac:dyDescent="0.2">
      <c r="A35" s="65">
        <v>103</v>
      </c>
      <c r="B35" s="66" t="s">
        <v>75</v>
      </c>
      <c r="C35" s="67" t="s">
        <v>117</v>
      </c>
      <c r="D35" s="67" t="s">
        <v>254</v>
      </c>
      <c r="E35" s="66" t="s">
        <v>255</v>
      </c>
      <c r="F35" s="67" t="s">
        <v>254</v>
      </c>
      <c r="G35" s="66" t="s">
        <v>258</v>
      </c>
      <c r="H35" s="67" t="s">
        <v>279</v>
      </c>
      <c r="I35" s="65" t="s">
        <v>280</v>
      </c>
      <c r="J35" s="65" t="s">
        <v>280</v>
      </c>
      <c r="K35" s="65" t="s">
        <v>280</v>
      </c>
      <c r="L35" s="65" t="s">
        <v>280</v>
      </c>
      <c r="M35" s="68">
        <f t="shared" si="52"/>
        <v>0</v>
      </c>
      <c r="N35" s="68">
        <v>0</v>
      </c>
      <c r="O35" s="68">
        <v>0</v>
      </c>
      <c r="P35" s="68">
        <v>0</v>
      </c>
      <c r="Q35" s="68">
        <v>0</v>
      </c>
      <c r="R35" s="68">
        <v>0</v>
      </c>
      <c r="S35" s="68">
        <v>0</v>
      </c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>
        <v>1</v>
      </c>
      <c r="BK35" s="68"/>
      <c r="BL35" s="68"/>
      <c r="BM35" s="68"/>
      <c r="BN35" s="68"/>
      <c r="BO35" s="68"/>
      <c r="BP35" s="68"/>
      <c r="BQ35" s="68"/>
      <c r="BR35" s="68">
        <v>1</v>
      </c>
      <c r="BS35" s="68"/>
      <c r="BT35" s="68"/>
    </row>
    <row r="36" spans="1:72" s="69" customFormat="1" ht="25.5" x14ac:dyDescent="0.2">
      <c r="A36" s="65">
        <v>104</v>
      </c>
      <c r="B36" s="66" t="s">
        <v>75</v>
      </c>
      <c r="C36" s="67" t="s">
        <v>118</v>
      </c>
      <c r="D36" s="67" t="s">
        <v>254</v>
      </c>
      <c r="E36" s="66" t="s">
        <v>255</v>
      </c>
      <c r="F36" s="67" t="s">
        <v>259</v>
      </c>
      <c r="G36" s="66" t="s">
        <v>264</v>
      </c>
      <c r="H36" s="67" t="s">
        <v>279</v>
      </c>
      <c r="I36" s="65" t="s">
        <v>280</v>
      </c>
      <c r="J36" s="65" t="s">
        <v>280</v>
      </c>
      <c r="K36" s="65" t="s">
        <v>280</v>
      </c>
      <c r="L36" s="65" t="s">
        <v>280</v>
      </c>
      <c r="M36" s="68">
        <f t="shared" si="52"/>
        <v>54421.877999999997</v>
      </c>
      <c r="N36" s="68"/>
      <c r="O36" s="68"/>
      <c r="P36" s="68"/>
      <c r="Q36" s="68"/>
      <c r="R36" s="68">
        <v>54421.877999999997</v>
      </c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>
        <v>1</v>
      </c>
      <c r="AD36" s="68">
        <v>1</v>
      </c>
      <c r="AE36" s="68">
        <v>1</v>
      </c>
      <c r="AF36" s="68">
        <v>1</v>
      </c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>
        <v>1</v>
      </c>
      <c r="BC36" s="68"/>
      <c r="BD36" s="68"/>
      <c r="BE36" s="68"/>
      <c r="BF36" s="68"/>
      <c r="BG36" s="68"/>
      <c r="BH36" s="68">
        <v>1</v>
      </c>
      <c r="BI36" s="68"/>
      <c r="BJ36" s="68"/>
      <c r="BK36" s="68"/>
      <c r="BL36" s="68"/>
      <c r="BM36" s="68"/>
      <c r="BN36" s="68"/>
      <c r="BO36" s="68"/>
      <c r="BP36" s="68"/>
      <c r="BQ36" s="68"/>
      <c r="BR36" s="68">
        <v>1</v>
      </c>
      <c r="BS36" s="68"/>
      <c r="BT36" s="68"/>
    </row>
    <row r="37" spans="1:72" s="69" customFormat="1" ht="25.5" x14ac:dyDescent="0.2">
      <c r="A37" s="65">
        <v>106</v>
      </c>
      <c r="B37" s="66" t="s">
        <v>75</v>
      </c>
      <c r="C37" s="67" t="s">
        <v>119</v>
      </c>
      <c r="D37" s="67" t="s">
        <v>259</v>
      </c>
      <c r="E37" s="66" t="s">
        <v>260</v>
      </c>
      <c r="F37" s="67" t="s">
        <v>259</v>
      </c>
      <c r="G37" s="66" t="s">
        <v>261</v>
      </c>
      <c r="H37" s="67" t="s">
        <v>279</v>
      </c>
      <c r="I37" s="65" t="s">
        <v>280</v>
      </c>
      <c r="J37" s="65" t="s">
        <v>281</v>
      </c>
      <c r="K37" s="65" t="s">
        <v>281</v>
      </c>
      <c r="L37" s="65" t="s">
        <v>280</v>
      </c>
      <c r="M37" s="68">
        <f t="shared" si="52"/>
        <v>16073.699999999999</v>
      </c>
      <c r="N37" s="68"/>
      <c r="O37" s="68"/>
      <c r="P37" s="68">
        <f>7906.7+2648.1+4762+756.9</f>
        <v>16073.699999999999</v>
      </c>
      <c r="Q37" s="68"/>
      <c r="R37" s="68"/>
      <c r="S37" s="68"/>
      <c r="T37" s="68"/>
      <c r="U37" s="68"/>
      <c r="V37" s="68"/>
      <c r="W37" s="68">
        <v>1</v>
      </c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>
        <v>1</v>
      </c>
      <c r="AL37" s="68">
        <v>1</v>
      </c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>
        <v>1</v>
      </c>
      <c r="BI37" s="68"/>
      <c r="BJ37" s="68"/>
      <c r="BK37" s="68"/>
      <c r="BL37" s="68"/>
      <c r="BM37" s="68"/>
      <c r="BN37" s="68">
        <v>1</v>
      </c>
      <c r="BO37" s="68"/>
      <c r="BP37" s="68"/>
      <c r="BQ37" s="68"/>
      <c r="BR37" s="68"/>
      <c r="BS37" s="68"/>
      <c r="BT37" s="68">
        <v>1</v>
      </c>
    </row>
    <row r="38" spans="1:72" s="69" customFormat="1" ht="25.5" x14ac:dyDescent="0.2">
      <c r="A38" s="65">
        <v>113</v>
      </c>
      <c r="B38" s="66" t="s">
        <v>75</v>
      </c>
      <c r="C38" s="67" t="s">
        <v>120</v>
      </c>
      <c r="D38" s="67" t="s">
        <v>259</v>
      </c>
      <c r="E38" s="66" t="s">
        <v>260</v>
      </c>
      <c r="F38" s="67" t="s">
        <v>259</v>
      </c>
      <c r="G38" s="66" t="s">
        <v>261</v>
      </c>
      <c r="H38" s="67" t="s">
        <v>279</v>
      </c>
      <c r="I38" s="65" t="s">
        <v>280</v>
      </c>
      <c r="J38" s="65" t="s">
        <v>280</v>
      </c>
      <c r="K38" s="65" t="s">
        <v>281</v>
      </c>
      <c r="L38" s="65" t="s">
        <v>280</v>
      </c>
      <c r="M38" s="68">
        <f t="shared" si="52"/>
        <v>69075.509999999995</v>
      </c>
      <c r="N38" s="68">
        <f>370.76+2004+606.6+15429.48</f>
        <v>18410.84</v>
      </c>
      <c r="O38" s="68">
        <f>407.6+2312.07+19846+28099</f>
        <v>50664.67</v>
      </c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</row>
    <row r="39" spans="1:72" ht="25.5" x14ac:dyDescent="0.2">
      <c r="A39" s="61">
        <v>132</v>
      </c>
      <c r="B39" s="62" t="s">
        <v>75</v>
      </c>
      <c r="C39" s="63" t="s">
        <v>121</v>
      </c>
      <c r="D39" s="63" t="s">
        <v>259</v>
      </c>
      <c r="E39" s="62" t="s">
        <v>260</v>
      </c>
      <c r="F39" s="63" t="s">
        <v>259</v>
      </c>
      <c r="G39" s="62" t="s">
        <v>261</v>
      </c>
      <c r="H39" s="63" t="s">
        <v>279</v>
      </c>
      <c r="I39" s="61" t="s">
        <v>280</v>
      </c>
      <c r="J39" s="61" t="s">
        <v>281</v>
      </c>
      <c r="K39" s="61" t="s">
        <v>281</v>
      </c>
      <c r="L39" s="61" t="s">
        <v>280</v>
      </c>
      <c r="M39" s="64">
        <f t="shared" si="52"/>
        <v>0</v>
      </c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</row>
    <row r="40" spans="1:72" s="69" customFormat="1" ht="25.5" x14ac:dyDescent="0.2">
      <c r="A40" s="65">
        <v>134</v>
      </c>
      <c r="B40" s="66" t="s">
        <v>75</v>
      </c>
      <c r="C40" s="67" t="s">
        <v>122</v>
      </c>
      <c r="D40" s="67" t="s">
        <v>259</v>
      </c>
      <c r="E40" s="66" t="s">
        <v>260</v>
      </c>
      <c r="F40" s="67" t="s">
        <v>259</v>
      </c>
      <c r="G40" s="66" t="s">
        <v>261</v>
      </c>
      <c r="H40" s="67" t="s">
        <v>279</v>
      </c>
      <c r="I40" s="65" t="s">
        <v>280</v>
      </c>
      <c r="J40" s="65" t="s">
        <v>281</v>
      </c>
      <c r="K40" s="65" t="s">
        <v>281</v>
      </c>
      <c r="L40" s="65" t="s">
        <v>280</v>
      </c>
      <c r="M40" s="68">
        <f t="shared" si="52"/>
        <v>64995.167999999998</v>
      </c>
      <c r="N40" s="68">
        <f>298.4+31250.538+33374.719</f>
        <v>64923.656999999999</v>
      </c>
      <c r="O40" s="68">
        <v>71.510999999999996</v>
      </c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>
        <v>1</v>
      </c>
      <c r="AH40" s="68"/>
      <c r="AI40" s="68"/>
      <c r="AJ40" s="68"/>
      <c r="AK40" s="68"/>
      <c r="AL40" s="68"/>
      <c r="AM40" s="68">
        <v>1</v>
      </c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>
        <v>1</v>
      </c>
      <c r="BH40" s="68"/>
      <c r="BI40" s="68"/>
      <c r="BJ40" s="68"/>
      <c r="BK40" s="68"/>
      <c r="BL40" s="68">
        <v>1</v>
      </c>
      <c r="BM40" s="68"/>
      <c r="BN40" s="68"/>
      <c r="BO40" s="68"/>
      <c r="BP40" s="68"/>
      <c r="BQ40" s="68"/>
      <c r="BR40" s="68"/>
      <c r="BS40" s="68"/>
      <c r="BT40" s="68"/>
    </row>
    <row r="41" spans="1:72" s="69" customFormat="1" ht="25.5" x14ac:dyDescent="0.2">
      <c r="A41" s="65">
        <v>137</v>
      </c>
      <c r="B41" s="66" t="s">
        <v>75</v>
      </c>
      <c r="C41" s="67" t="s">
        <v>123</v>
      </c>
      <c r="D41" s="67" t="s">
        <v>259</v>
      </c>
      <c r="E41" s="66" t="s">
        <v>260</v>
      </c>
      <c r="F41" s="67" t="s">
        <v>259</v>
      </c>
      <c r="G41" s="66" t="s">
        <v>261</v>
      </c>
      <c r="H41" s="67" t="s">
        <v>279</v>
      </c>
      <c r="I41" s="65" t="s">
        <v>280</v>
      </c>
      <c r="J41" s="65" t="s">
        <v>281</v>
      </c>
      <c r="K41" s="65" t="s">
        <v>281</v>
      </c>
      <c r="L41" s="65" t="s">
        <v>280</v>
      </c>
      <c r="M41" s="68">
        <f t="shared" si="52"/>
        <v>10017</v>
      </c>
      <c r="N41" s="68"/>
      <c r="O41" s="68"/>
      <c r="P41" s="68">
        <f>5245+3218+284+458+326+486</f>
        <v>10017</v>
      </c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>
        <v>1</v>
      </c>
      <c r="AB41" s="68"/>
      <c r="AC41" s="68">
        <v>1</v>
      </c>
      <c r="AD41" s="68">
        <v>1</v>
      </c>
      <c r="AE41" s="68">
        <v>1</v>
      </c>
      <c r="AF41" s="68">
        <v>1</v>
      </c>
      <c r="AG41" s="68">
        <v>1</v>
      </c>
      <c r="AH41" s="68">
        <v>1</v>
      </c>
      <c r="AI41" s="68"/>
      <c r="AJ41" s="68"/>
      <c r="AK41" s="68"/>
      <c r="AL41" s="68"/>
      <c r="AM41" s="68"/>
      <c r="AN41" s="68">
        <v>1</v>
      </c>
      <c r="AO41" s="68">
        <v>1</v>
      </c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>
        <v>1</v>
      </c>
      <c r="BF41" s="68"/>
      <c r="BG41" s="68"/>
      <c r="BH41" s="68"/>
      <c r="BI41" s="68"/>
      <c r="BJ41" s="68">
        <v>1</v>
      </c>
      <c r="BK41" s="68"/>
      <c r="BL41" s="68"/>
      <c r="BM41" s="68"/>
      <c r="BN41" s="68"/>
      <c r="BO41" s="68"/>
      <c r="BP41" s="68"/>
      <c r="BQ41" s="68"/>
      <c r="BR41" s="68">
        <v>1</v>
      </c>
      <c r="BS41" s="68"/>
      <c r="BT41" s="68"/>
    </row>
    <row r="42" spans="1:72" s="69" customFormat="1" ht="25.5" x14ac:dyDescent="0.2">
      <c r="A42" s="65">
        <v>142</v>
      </c>
      <c r="B42" s="66" t="s">
        <v>75</v>
      </c>
      <c r="C42" s="67" t="s">
        <v>124</v>
      </c>
      <c r="D42" s="67" t="s">
        <v>259</v>
      </c>
      <c r="E42" s="66" t="s">
        <v>260</v>
      </c>
      <c r="F42" s="67" t="s">
        <v>259</v>
      </c>
      <c r="G42" s="66" t="s">
        <v>261</v>
      </c>
      <c r="H42" s="67" t="s">
        <v>279</v>
      </c>
      <c r="I42" s="65" t="s">
        <v>280</v>
      </c>
      <c r="J42" s="65" t="s">
        <v>281</v>
      </c>
      <c r="K42" s="65" t="s">
        <v>281</v>
      </c>
      <c r="L42" s="65" t="s">
        <v>280</v>
      </c>
      <c r="M42" s="68">
        <f t="shared" si="52"/>
        <v>52244.4</v>
      </c>
      <c r="N42" s="68">
        <f>3389.9+6790+5074.2+6790+3690+8900+5211+5602.5+6796.8</f>
        <v>52244.4</v>
      </c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>
        <v>1</v>
      </c>
      <c r="AL42" s="68">
        <v>1</v>
      </c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>
        <v>1</v>
      </c>
      <c r="BH42" s="68">
        <v>1</v>
      </c>
      <c r="BI42" s="68"/>
      <c r="BJ42" s="68"/>
      <c r="BK42" s="68"/>
      <c r="BL42" s="68"/>
      <c r="BM42" s="68"/>
      <c r="BN42" s="68">
        <v>1</v>
      </c>
      <c r="BO42" s="68"/>
      <c r="BP42" s="68"/>
      <c r="BQ42" s="68"/>
      <c r="BR42" s="68"/>
      <c r="BS42" s="68"/>
      <c r="BT42" s="68"/>
    </row>
    <row r="43" spans="1:72" s="69" customFormat="1" ht="25.5" x14ac:dyDescent="0.2">
      <c r="A43" s="65">
        <v>149</v>
      </c>
      <c r="B43" s="66" t="s">
        <v>75</v>
      </c>
      <c r="C43" s="67" t="s">
        <v>125</v>
      </c>
      <c r="D43" s="67" t="s">
        <v>259</v>
      </c>
      <c r="E43" s="66" t="s">
        <v>260</v>
      </c>
      <c r="F43" s="67" t="s">
        <v>259</v>
      </c>
      <c r="G43" s="66" t="s">
        <v>261</v>
      </c>
      <c r="H43" s="67" t="s">
        <v>279</v>
      </c>
      <c r="I43" s="65" t="s">
        <v>280</v>
      </c>
      <c r="J43" s="65" t="s">
        <v>280</v>
      </c>
      <c r="K43" s="65" t="s">
        <v>281</v>
      </c>
      <c r="L43" s="65" t="s">
        <v>280</v>
      </c>
      <c r="M43" s="68">
        <f t="shared" si="52"/>
        <v>59946</v>
      </c>
      <c r="N43" s="68">
        <f>689+2771+55369+1117</f>
        <v>59946</v>
      </c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>
        <v>1</v>
      </c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>
        <v>1</v>
      </c>
      <c r="BF43" s="68"/>
      <c r="BG43" s="68">
        <v>1</v>
      </c>
      <c r="BH43" s="68">
        <v>1</v>
      </c>
      <c r="BI43" s="68"/>
      <c r="BJ43" s="68">
        <v>1</v>
      </c>
      <c r="BK43" s="68"/>
      <c r="BL43" s="68"/>
      <c r="BM43" s="68"/>
      <c r="BN43" s="68"/>
      <c r="BO43" s="68"/>
      <c r="BP43" s="68"/>
      <c r="BQ43" s="68"/>
      <c r="BR43" s="68">
        <v>1</v>
      </c>
      <c r="BS43" s="68"/>
      <c r="BT43" s="68"/>
    </row>
    <row r="44" spans="1:72" s="69" customFormat="1" ht="25.5" x14ac:dyDescent="0.2">
      <c r="A44" s="65">
        <v>150</v>
      </c>
      <c r="B44" s="66" t="s">
        <v>75</v>
      </c>
      <c r="C44" s="67" t="s">
        <v>126</v>
      </c>
      <c r="D44" s="67" t="s">
        <v>254</v>
      </c>
      <c r="E44" s="66" t="s">
        <v>270</v>
      </c>
      <c r="F44" s="67" t="s">
        <v>259</v>
      </c>
      <c r="G44" s="66" t="s">
        <v>271</v>
      </c>
      <c r="H44" s="67" t="s">
        <v>279</v>
      </c>
      <c r="I44" s="65" t="s">
        <v>280</v>
      </c>
      <c r="J44" s="65" t="s">
        <v>280</v>
      </c>
      <c r="K44" s="65" t="s">
        <v>281</v>
      </c>
      <c r="L44" s="65" t="s">
        <v>280</v>
      </c>
      <c r="M44" s="68">
        <f t="shared" si="52"/>
        <v>70773.919999999998</v>
      </c>
      <c r="N44" s="68">
        <f>28598.02+15322.4+26853.5</f>
        <v>70773.919999999998</v>
      </c>
      <c r="O44" s="68"/>
      <c r="P44" s="68"/>
      <c r="Q44" s="68"/>
      <c r="R44" s="68"/>
      <c r="S44" s="68"/>
      <c r="T44" s="68"/>
      <c r="U44" s="68">
        <v>1</v>
      </c>
      <c r="V44" s="68">
        <v>1</v>
      </c>
      <c r="W44" s="68">
        <v>1</v>
      </c>
      <c r="X44" s="68"/>
      <c r="Y44" s="68"/>
      <c r="Z44" s="68">
        <v>1</v>
      </c>
      <c r="AA44" s="68">
        <v>1</v>
      </c>
      <c r="AB44" s="68">
        <v>1</v>
      </c>
      <c r="AC44" s="68">
        <v>1</v>
      </c>
      <c r="AD44" s="68">
        <v>1</v>
      </c>
      <c r="AE44" s="68">
        <v>1</v>
      </c>
      <c r="AF44" s="68">
        <v>1</v>
      </c>
      <c r="AG44" s="68">
        <v>1</v>
      </c>
      <c r="AH44" s="68">
        <v>1</v>
      </c>
      <c r="AI44" s="68"/>
      <c r="AJ44" s="68"/>
      <c r="AK44" s="68"/>
      <c r="AL44" s="68">
        <v>1</v>
      </c>
      <c r="AM44" s="68">
        <v>1</v>
      </c>
      <c r="AN44" s="68">
        <v>1</v>
      </c>
      <c r="AO44" s="68">
        <v>1</v>
      </c>
      <c r="AP44" s="68">
        <v>1</v>
      </c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>
        <v>1</v>
      </c>
      <c r="BC44" s="68"/>
      <c r="BD44" s="68"/>
      <c r="BE44" s="68">
        <v>1</v>
      </c>
      <c r="BF44" s="68">
        <v>1</v>
      </c>
      <c r="BG44" s="68"/>
      <c r="BH44" s="68"/>
      <c r="BI44" s="68"/>
      <c r="BJ44" s="68"/>
      <c r="BK44" s="68"/>
      <c r="BL44" s="68"/>
      <c r="BM44" s="68"/>
      <c r="BN44" s="68"/>
      <c r="BO44" s="68"/>
      <c r="BP44" s="68">
        <v>1</v>
      </c>
      <c r="BQ44" s="68"/>
      <c r="BR44" s="68">
        <v>1</v>
      </c>
      <c r="BS44" s="68"/>
      <c r="BT44" s="68"/>
    </row>
    <row r="45" spans="1:72" s="69" customFormat="1" ht="25.5" x14ac:dyDescent="0.2">
      <c r="A45" s="65">
        <v>156</v>
      </c>
      <c r="B45" s="66" t="s">
        <v>75</v>
      </c>
      <c r="C45" s="67" t="s">
        <v>127</v>
      </c>
      <c r="D45" s="67" t="s">
        <v>259</v>
      </c>
      <c r="E45" s="66" t="s">
        <v>260</v>
      </c>
      <c r="F45" s="67" t="s">
        <v>259</v>
      </c>
      <c r="G45" s="66" t="s">
        <v>261</v>
      </c>
      <c r="H45" s="67" t="s">
        <v>279</v>
      </c>
      <c r="I45" s="65" t="s">
        <v>280</v>
      </c>
      <c r="J45" s="65" t="s">
        <v>281</v>
      </c>
      <c r="K45" s="65" t="s">
        <v>281</v>
      </c>
      <c r="L45" s="65" t="s">
        <v>280</v>
      </c>
      <c r="M45" s="68">
        <f t="shared" si="52"/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>
        <v>1</v>
      </c>
      <c r="BK45" s="68"/>
      <c r="BL45" s="68"/>
      <c r="BM45" s="68"/>
      <c r="BN45" s="68"/>
      <c r="BO45" s="68"/>
      <c r="BP45" s="68"/>
      <c r="BQ45" s="68"/>
      <c r="BR45" s="68"/>
      <c r="BS45" s="68">
        <v>1</v>
      </c>
      <c r="BT45" s="68"/>
    </row>
    <row r="46" spans="1:72" s="69" customFormat="1" ht="25.5" x14ac:dyDescent="0.2">
      <c r="A46" s="65">
        <v>159</v>
      </c>
      <c r="B46" s="66" t="s">
        <v>75</v>
      </c>
      <c r="C46" s="67" t="s">
        <v>128</v>
      </c>
      <c r="D46" s="67" t="s">
        <v>259</v>
      </c>
      <c r="E46" s="66" t="s">
        <v>260</v>
      </c>
      <c r="F46" s="67" t="s">
        <v>259</v>
      </c>
      <c r="G46" s="66" t="s">
        <v>261</v>
      </c>
      <c r="H46" s="67" t="s">
        <v>279</v>
      </c>
      <c r="I46" s="65" t="s">
        <v>280</v>
      </c>
      <c r="J46" s="65" t="s">
        <v>281</v>
      </c>
      <c r="K46" s="65" t="s">
        <v>281</v>
      </c>
      <c r="L46" s="65" t="s">
        <v>280</v>
      </c>
      <c r="M46" s="68">
        <f t="shared" si="52"/>
        <v>3944</v>
      </c>
      <c r="N46" s="68"/>
      <c r="O46" s="68">
        <v>3944</v>
      </c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>
        <v>1</v>
      </c>
      <c r="AL46" s="68">
        <v>1</v>
      </c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>
        <v>1</v>
      </c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>
        <v>1</v>
      </c>
    </row>
    <row r="47" spans="1:72" s="69" customFormat="1" ht="25.5" x14ac:dyDescent="0.2">
      <c r="A47" s="65">
        <v>162</v>
      </c>
      <c r="B47" s="66" t="s">
        <v>75</v>
      </c>
      <c r="C47" s="67" t="s">
        <v>129</v>
      </c>
      <c r="D47" s="67" t="s">
        <v>254</v>
      </c>
      <c r="E47" s="66" t="s">
        <v>255</v>
      </c>
      <c r="F47" s="67" t="s">
        <v>259</v>
      </c>
      <c r="G47" s="66" t="s">
        <v>261</v>
      </c>
      <c r="H47" s="67" t="s">
        <v>279</v>
      </c>
      <c r="I47" s="65" t="s">
        <v>280</v>
      </c>
      <c r="J47" s="65" t="s">
        <v>280</v>
      </c>
      <c r="K47" s="65" t="s">
        <v>281</v>
      </c>
      <c r="L47" s="65" t="s">
        <v>280</v>
      </c>
      <c r="M47" s="68">
        <f t="shared" si="52"/>
        <v>24204.339199999999</v>
      </c>
      <c r="N47" s="68">
        <v>22596.339199999999</v>
      </c>
      <c r="O47" s="68"/>
      <c r="P47" s="68">
        <f>1296+312</f>
        <v>1608</v>
      </c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>
        <v>1</v>
      </c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>
        <v>1</v>
      </c>
      <c r="BI47" s="68"/>
      <c r="BJ47" s="68">
        <v>1</v>
      </c>
      <c r="BK47" s="68">
        <v>1</v>
      </c>
      <c r="BL47" s="68"/>
      <c r="BM47" s="68"/>
      <c r="BN47" s="68"/>
      <c r="BO47" s="68"/>
      <c r="BP47" s="68"/>
      <c r="BQ47" s="68"/>
      <c r="BR47" s="68">
        <v>1</v>
      </c>
      <c r="BS47" s="68"/>
      <c r="BT47" s="68"/>
    </row>
    <row r="48" spans="1:72" s="69" customFormat="1" ht="25.5" x14ac:dyDescent="0.2">
      <c r="A48" s="65">
        <v>163</v>
      </c>
      <c r="B48" s="66" t="s">
        <v>75</v>
      </c>
      <c r="C48" s="67" t="s">
        <v>130</v>
      </c>
      <c r="D48" s="67" t="s">
        <v>259</v>
      </c>
      <c r="E48" s="66" t="s">
        <v>263</v>
      </c>
      <c r="F48" s="67" t="s">
        <v>259</v>
      </c>
      <c r="G48" s="66" t="s">
        <v>267</v>
      </c>
      <c r="H48" s="67" t="s">
        <v>279</v>
      </c>
      <c r="I48" s="65" t="s">
        <v>280</v>
      </c>
      <c r="J48" s="65" t="s">
        <v>280</v>
      </c>
      <c r="K48" s="65" t="s">
        <v>281</v>
      </c>
      <c r="L48" s="65" t="s">
        <v>280</v>
      </c>
      <c r="M48" s="68">
        <f t="shared" si="52"/>
        <v>59968.579000000005</v>
      </c>
      <c r="N48" s="68"/>
      <c r="O48" s="68"/>
      <c r="P48" s="68">
        <f>14022.339+7495.45+22264.08+2671.62+6667.06+3738.77+3109.26</f>
        <v>59968.579000000005</v>
      </c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>
        <v>1</v>
      </c>
      <c r="AL48" s="68">
        <v>1</v>
      </c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>
        <v>1</v>
      </c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>
        <v>1</v>
      </c>
      <c r="BS48" s="68"/>
      <c r="BT48" s="68">
        <v>1</v>
      </c>
    </row>
    <row r="49" spans="1:72" s="69" customFormat="1" ht="25.5" x14ac:dyDescent="0.2">
      <c r="A49" s="65">
        <v>168</v>
      </c>
      <c r="B49" s="66" t="s">
        <v>75</v>
      </c>
      <c r="C49" s="67" t="s">
        <v>131</v>
      </c>
      <c r="D49" s="67" t="s">
        <v>259</v>
      </c>
      <c r="E49" s="66" t="s">
        <v>260</v>
      </c>
      <c r="F49" s="67" t="s">
        <v>259</v>
      </c>
      <c r="G49" s="66" t="s">
        <v>261</v>
      </c>
      <c r="H49" s="67" t="s">
        <v>279</v>
      </c>
      <c r="I49" s="65" t="s">
        <v>280</v>
      </c>
      <c r="J49" s="65" t="s">
        <v>281</v>
      </c>
      <c r="K49" s="65" t="s">
        <v>281</v>
      </c>
      <c r="L49" s="65" t="s">
        <v>280</v>
      </c>
      <c r="M49" s="68">
        <f t="shared" si="52"/>
        <v>25707</v>
      </c>
      <c r="N49" s="68"/>
      <c r="O49" s="68"/>
      <c r="P49" s="68">
        <f>1276+6459+10520+1187+1974</f>
        <v>21416</v>
      </c>
      <c r="Q49" s="68">
        <v>4291</v>
      </c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>
        <v>1</v>
      </c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>
        <v>1</v>
      </c>
      <c r="BD49" s="68"/>
      <c r="BE49" s="68"/>
      <c r="BF49" s="68"/>
      <c r="BG49" s="68">
        <v>1</v>
      </c>
      <c r="BH49" s="68">
        <v>1</v>
      </c>
      <c r="BI49" s="68"/>
      <c r="BJ49" s="68">
        <v>1</v>
      </c>
      <c r="BK49" s="68"/>
      <c r="BL49" s="68"/>
      <c r="BM49" s="68">
        <v>1</v>
      </c>
      <c r="BN49" s="68"/>
      <c r="BO49" s="68"/>
      <c r="BP49" s="68"/>
      <c r="BQ49" s="68"/>
      <c r="BR49" s="68">
        <v>1</v>
      </c>
      <c r="BS49" s="68">
        <v>1</v>
      </c>
      <c r="BT49" s="68"/>
    </row>
    <row r="50" spans="1:72" s="69" customFormat="1" ht="25.5" x14ac:dyDescent="0.2">
      <c r="A50" s="65">
        <v>173</v>
      </c>
      <c r="B50" s="66" t="s">
        <v>75</v>
      </c>
      <c r="C50" s="67" t="s">
        <v>132</v>
      </c>
      <c r="D50" s="67" t="s">
        <v>259</v>
      </c>
      <c r="E50" s="66" t="s">
        <v>260</v>
      </c>
      <c r="F50" s="67" t="s">
        <v>259</v>
      </c>
      <c r="G50" s="66" t="s">
        <v>261</v>
      </c>
      <c r="H50" s="67" t="s">
        <v>279</v>
      </c>
      <c r="I50" s="65" t="s">
        <v>280</v>
      </c>
      <c r="J50" s="65" t="s">
        <v>280</v>
      </c>
      <c r="K50" s="65" t="s">
        <v>281</v>
      </c>
      <c r="L50" s="65" t="s">
        <v>280</v>
      </c>
      <c r="M50" s="68">
        <f t="shared" si="52"/>
        <v>20000</v>
      </c>
      <c r="N50" s="68"/>
      <c r="O50" s="68"/>
      <c r="P50" s="68">
        <v>20000</v>
      </c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>
        <v>1</v>
      </c>
      <c r="AH50" s="68"/>
      <c r="AI50" s="68"/>
      <c r="AJ50" s="68"/>
      <c r="AK50" s="68">
        <v>1</v>
      </c>
      <c r="AL50" s="68">
        <v>1</v>
      </c>
      <c r="AM50" s="68">
        <v>1</v>
      </c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>
        <v>1</v>
      </c>
      <c r="BI50" s="68"/>
      <c r="BJ50" s="68">
        <v>1</v>
      </c>
      <c r="BK50" s="68"/>
      <c r="BL50" s="68"/>
      <c r="BM50" s="68"/>
      <c r="BN50" s="68"/>
      <c r="BO50" s="68"/>
      <c r="BP50" s="68"/>
      <c r="BQ50" s="68"/>
      <c r="BR50" s="68">
        <v>1</v>
      </c>
      <c r="BS50" s="68"/>
      <c r="BT50" s="68"/>
    </row>
    <row r="51" spans="1:72" s="69" customFormat="1" ht="25.5" x14ac:dyDescent="0.2">
      <c r="A51" s="65">
        <v>180</v>
      </c>
      <c r="B51" s="66" t="s">
        <v>75</v>
      </c>
      <c r="C51" s="67" t="s">
        <v>133</v>
      </c>
      <c r="D51" s="67" t="s">
        <v>254</v>
      </c>
      <c r="E51" s="66" t="s">
        <v>255</v>
      </c>
      <c r="F51" s="67" t="s">
        <v>254</v>
      </c>
      <c r="G51" s="66" t="s">
        <v>258</v>
      </c>
      <c r="H51" s="67" t="s">
        <v>279</v>
      </c>
      <c r="I51" s="65" t="s">
        <v>280</v>
      </c>
      <c r="J51" s="65" t="s">
        <v>280</v>
      </c>
      <c r="K51" s="65" t="s">
        <v>281</v>
      </c>
      <c r="L51" s="65" t="s">
        <v>280</v>
      </c>
      <c r="M51" s="68">
        <f t="shared" si="52"/>
        <v>175122.69024</v>
      </c>
      <c r="N51" s="68"/>
      <c r="O51" s="68"/>
      <c r="P51" s="68">
        <f>8773.22659+3539.6299+10858.9269+8353.27426+11652.58559+131945.047</f>
        <v>175122.69024</v>
      </c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>
        <v>1</v>
      </c>
      <c r="AD51" s="68">
        <v>1</v>
      </c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>
        <v>1</v>
      </c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>
        <v>1</v>
      </c>
      <c r="BS51" s="68"/>
      <c r="BT51" s="68"/>
    </row>
    <row r="52" spans="1:72" s="69" customFormat="1" ht="25.5" x14ac:dyDescent="0.2">
      <c r="A52" s="65">
        <v>188</v>
      </c>
      <c r="B52" s="66" t="s">
        <v>75</v>
      </c>
      <c r="C52" s="67" t="s">
        <v>134</v>
      </c>
      <c r="D52" s="67" t="s">
        <v>259</v>
      </c>
      <c r="E52" s="66" t="s">
        <v>263</v>
      </c>
      <c r="F52" s="67"/>
      <c r="G52" s="66"/>
      <c r="H52" s="67" t="s">
        <v>279</v>
      </c>
      <c r="I52" s="65" t="s">
        <v>280</v>
      </c>
      <c r="J52" s="65" t="s">
        <v>281</v>
      </c>
      <c r="K52" s="65" t="s">
        <v>281</v>
      </c>
      <c r="L52" s="65" t="s">
        <v>281</v>
      </c>
      <c r="M52" s="68">
        <f t="shared" si="52"/>
        <v>220861.12</v>
      </c>
      <c r="N52" s="68">
        <f>9726.95+8667.08</f>
        <v>18394.03</v>
      </c>
      <c r="O52" s="68">
        <f>165333.16+30474.64+3990+2669.29</f>
        <v>202467.09</v>
      </c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>
        <v>1</v>
      </c>
      <c r="AD52" s="68">
        <v>1</v>
      </c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>
        <v>1</v>
      </c>
      <c r="BC52" s="68"/>
      <c r="BD52" s="68"/>
      <c r="BE52" s="68"/>
      <c r="BF52" s="68"/>
      <c r="BG52" s="68"/>
      <c r="BH52" s="68">
        <v>1</v>
      </c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>
        <v>1</v>
      </c>
      <c r="BT52" s="68"/>
    </row>
    <row r="53" spans="1:72" s="69" customFormat="1" ht="25.5" x14ac:dyDescent="0.2">
      <c r="A53" s="65">
        <v>189</v>
      </c>
      <c r="B53" s="66" t="s">
        <v>75</v>
      </c>
      <c r="C53" s="67" t="s">
        <v>135</v>
      </c>
      <c r="D53" s="67" t="s">
        <v>254</v>
      </c>
      <c r="E53" s="66" t="s">
        <v>255</v>
      </c>
      <c r="F53" s="67" t="s">
        <v>254</v>
      </c>
      <c r="G53" s="66" t="s">
        <v>258</v>
      </c>
      <c r="H53" s="67" t="s">
        <v>279</v>
      </c>
      <c r="I53" s="65" t="s">
        <v>280</v>
      </c>
      <c r="J53" s="65" t="s">
        <v>280</v>
      </c>
      <c r="K53" s="65" t="s">
        <v>281</v>
      </c>
      <c r="L53" s="65" t="s">
        <v>280</v>
      </c>
      <c r="M53" s="68">
        <f t="shared" si="52"/>
        <v>259919.06599999999</v>
      </c>
      <c r="N53" s="68">
        <f>753+14680+11000+3083.333</f>
        <v>29516.332999999999</v>
      </c>
      <c r="O53" s="68">
        <f>35369+4090+8221.34+620+1890+1180+7604.162+10390.279+2000+3702+300.257+25424+21717.563+1100+3681.6+5500+620+9368.766+2590+2070+600+Q543990+7888.3+1073.897+2800+4939.171+1980+4500+500</f>
        <v>171720.33499999999</v>
      </c>
      <c r="P53" s="68">
        <f>2659.521+1235.425+7741.351+2336.141+2106.049+4730+2779.293+23400+1733.47+3336.104+3625.044+3000</f>
        <v>58682.398000000001</v>
      </c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>
        <v>1</v>
      </c>
      <c r="AH53" s="68"/>
      <c r="AI53" s="68">
        <v>1</v>
      </c>
      <c r="AJ53" s="68"/>
      <c r="AK53" s="68">
        <v>1</v>
      </c>
      <c r="AL53" s="68">
        <v>1</v>
      </c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>
        <v>1</v>
      </c>
      <c r="BF53" s="68"/>
      <c r="BG53" s="68">
        <v>1</v>
      </c>
      <c r="BH53" s="68">
        <v>1</v>
      </c>
      <c r="BI53" s="68"/>
      <c r="BJ53" s="68">
        <v>1</v>
      </c>
      <c r="BK53" s="68"/>
      <c r="BL53" s="68"/>
      <c r="BM53" s="68"/>
      <c r="BN53" s="68"/>
      <c r="BO53" s="68"/>
      <c r="BP53" s="68"/>
      <c r="BQ53" s="68"/>
      <c r="BR53" s="68">
        <v>1</v>
      </c>
      <c r="BS53" s="68"/>
      <c r="BT53" s="68"/>
    </row>
    <row r="54" spans="1:72" s="69" customFormat="1" ht="25.5" x14ac:dyDescent="0.2">
      <c r="A54" s="65">
        <v>190</v>
      </c>
      <c r="B54" s="66" t="s">
        <v>75</v>
      </c>
      <c r="C54" s="67" t="s">
        <v>136</v>
      </c>
      <c r="D54" s="67" t="s">
        <v>259</v>
      </c>
      <c r="E54" s="66" t="s">
        <v>263</v>
      </c>
      <c r="F54" s="67"/>
      <c r="G54" s="66"/>
      <c r="H54" s="67" t="s">
        <v>279</v>
      </c>
      <c r="I54" s="65" t="s">
        <v>280</v>
      </c>
      <c r="J54" s="65" t="s">
        <v>281</v>
      </c>
      <c r="K54" s="65" t="s">
        <v>281</v>
      </c>
      <c r="L54" s="65" t="s">
        <v>281</v>
      </c>
      <c r="M54" s="68">
        <f t="shared" si="52"/>
        <v>197985</v>
      </c>
      <c r="N54" s="68">
        <f>4396+741</f>
        <v>5137</v>
      </c>
      <c r="O54" s="68">
        <f>184687+8161</f>
        <v>192848</v>
      </c>
      <c r="P54" s="68"/>
      <c r="Q54" s="68"/>
      <c r="R54" s="68"/>
      <c r="S54" s="68"/>
      <c r="T54" s="68"/>
      <c r="U54" s="68">
        <v>1</v>
      </c>
      <c r="V54" s="68">
        <v>1</v>
      </c>
      <c r="W54" s="68">
        <v>1</v>
      </c>
      <c r="X54" s="68"/>
      <c r="Y54" s="68">
        <v>1</v>
      </c>
      <c r="Z54" s="68">
        <v>1</v>
      </c>
      <c r="AA54" s="68">
        <v>1</v>
      </c>
      <c r="AB54" s="68">
        <v>1</v>
      </c>
      <c r="AC54" s="68">
        <v>1</v>
      </c>
      <c r="AD54" s="68"/>
      <c r="AE54" s="68">
        <v>1</v>
      </c>
      <c r="AF54" s="68">
        <v>1</v>
      </c>
      <c r="AG54" s="68">
        <v>1</v>
      </c>
      <c r="AH54" s="68">
        <v>1</v>
      </c>
      <c r="AI54" s="68">
        <v>1</v>
      </c>
      <c r="AJ54" s="68">
        <v>1</v>
      </c>
      <c r="AK54" s="68"/>
      <c r="AL54" s="68">
        <v>1</v>
      </c>
      <c r="AM54" s="68">
        <v>1</v>
      </c>
      <c r="AN54" s="68">
        <v>1</v>
      </c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>
        <v>1</v>
      </c>
      <c r="BC54" s="68"/>
      <c r="BD54" s="68"/>
      <c r="BE54" s="68">
        <v>1</v>
      </c>
      <c r="BF54" s="68"/>
      <c r="BG54" s="68"/>
      <c r="BH54" s="68"/>
      <c r="BI54" s="68"/>
      <c r="BJ54" s="68"/>
      <c r="BK54" s="68"/>
      <c r="BL54" s="68">
        <v>1</v>
      </c>
      <c r="BM54" s="68"/>
      <c r="BN54" s="68"/>
      <c r="BO54" s="68"/>
      <c r="BP54" s="68"/>
      <c r="BQ54" s="68"/>
      <c r="BR54" s="68"/>
      <c r="BS54" s="68"/>
      <c r="BT54" s="68">
        <v>1</v>
      </c>
    </row>
    <row r="55" spans="1:72" s="69" customFormat="1" ht="25.5" x14ac:dyDescent="0.2">
      <c r="A55" s="65">
        <v>193</v>
      </c>
      <c r="B55" s="66" t="s">
        <v>75</v>
      </c>
      <c r="C55" s="67" t="s">
        <v>137</v>
      </c>
      <c r="D55" s="67" t="s">
        <v>254</v>
      </c>
      <c r="E55" s="66" t="s">
        <v>255</v>
      </c>
      <c r="F55" s="67" t="s">
        <v>254</v>
      </c>
      <c r="G55" s="66" t="s">
        <v>258</v>
      </c>
      <c r="H55" s="67" t="s">
        <v>279</v>
      </c>
      <c r="I55" s="65" t="s">
        <v>280</v>
      </c>
      <c r="J55" s="65" t="s">
        <v>280</v>
      </c>
      <c r="K55" s="65" t="s">
        <v>281</v>
      </c>
      <c r="L55" s="65" t="s">
        <v>280</v>
      </c>
      <c r="M55" s="68">
        <f t="shared" si="52"/>
        <v>289912.7</v>
      </c>
      <c r="N55" s="68">
        <f>31935.5+34636.1+984.3+65946.7</f>
        <v>133502.6</v>
      </c>
      <c r="O55" s="68"/>
      <c r="P55" s="68">
        <f>6740.1+83681.1+15836.8+15805.4+25254.9+9091.8</f>
        <v>156410.1</v>
      </c>
      <c r="Q55" s="68"/>
      <c r="R55" s="68"/>
      <c r="S55" s="68"/>
      <c r="T55" s="68"/>
      <c r="U55" s="68">
        <v>1</v>
      </c>
      <c r="V55" s="68">
        <v>1</v>
      </c>
      <c r="W55" s="68">
        <v>1</v>
      </c>
      <c r="X55" s="68"/>
      <c r="Y55" s="68">
        <v>1</v>
      </c>
      <c r="Z55" s="68">
        <v>1</v>
      </c>
      <c r="AA55" s="68">
        <v>1</v>
      </c>
      <c r="AB55" s="68">
        <v>1</v>
      </c>
      <c r="AC55" s="68">
        <v>1</v>
      </c>
      <c r="AD55" s="68">
        <v>1</v>
      </c>
      <c r="AE55" s="68">
        <v>1</v>
      </c>
      <c r="AF55" s="68">
        <v>1</v>
      </c>
      <c r="AG55" s="68">
        <v>1</v>
      </c>
      <c r="AH55" s="68">
        <v>1</v>
      </c>
      <c r="AI55" s="68">
        <v>1</v>
      </c>
      <c r="AJ55" s="68"/>
      <c r="AK55" s="68"/>
      <c r="AL55" s="68">
        <v>1</v>
      </c>
      <c r="AM55" s="68">
        <v>1</v>
      </c>
      <c r="AN55" s="68">
        <v>1</v>
      </c>
      <c r="AO55" s="68">
        <v>1</v>
      </c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>
        <v>1</v>
      </c>
      <c r="BC55" s="68"/>
      <c r="BD55" s="68"/>
      <c r="BE55" s="68"/>
      <c r="BF55" s="68"/>
      <c r="BG55" s="68">
        <v>1</v>
      </c>
      <c r="BH55" s="68"/>
      <c r="BI55" s="68"/>
      <c r="BJ55" s="68"/>
      <c r="BK55" s="68"/>
      <c r="BL55" s="68"/>
      <c r="BM55" s="68">
        <v>1</v>
      </c>
      <c r="BN55" s="68"/>
      <c r="BO55" s="68"/>
      <c r="BP55" s="68"/>
      <c r="BQ55" s="68"/>
      <c r="BR55" s="68"/>
      <c r="BS55" s="68"/>
      <c r="BT55" s="68"/>
    </row>
    <row r="56" spans="1:72" s="69" customFormat="1" ht="25.5" x14ac:dyDescent="0.2">
      <c r="A56" s="65">
        <v>195</v>
      </c>
      <c r="B56" s="66" t="s">
        <v>75</v>
      </c>
      <c r="C56" s="67" t="s">
        <v>138</v>
      </c>
      <c r="D56" s="67" t="s">
        <v>259</v>
      </c>
      <c r="E56" s="66" t="s">
        <v>260</v>
      </c>
      <c r="F56" s="67" t="s">
        <v>259</v>
      </c>
      <c r="G56" s="66" t="s">
        <v>261</v>
      </c>
      <c r="H56" s="67" t="s">
        <v>279</v>
      </c>
      <c r="I56" s="65" t="s">
        <v>280</v>
      </c>
      <c r="J56" s="65" t="s">
        <v>280</v>
      </c>
      <c r="K56" s="65" t="s">
        <v>281</v>
      </c>
      <c r="L56" s="65" t="s">
        <v>280</v>
      </c>
      <c r="M56" s="68">
        <f t="shared" si="52"/>
        <v>21584.962</v>
      </c>
      <c r="N56" s="68">
        <f>14125.682+3060.12+4399.16</f>
        <v>21584.962</v>
      </c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>
        <v>1</v>
      </c>
      <c r="AH56" s="68"/>
      <c r="AI56" s="68"/>
      <c r="AJ56" s="68"/>
      <c r="AK56" s="68"/>
      <c r="AL56" s="68">
        <v>1</v>
      </c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>
        <v>1</v>
      </c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>
        <v>1</v>
      </c>
    </row>
    <row r="57" spans="1:72" s="69" customFormat="1" ht="25.5" x14ac:dyDescent="0.2">
      <c r="A57" s="65">
        <v>201</v>
      </c>
      <c r="B57" s="66" t="s">
        <v>75</v>
      </c>
      <c r="C57" s="67" t="s">
        <v>139</v>
      </c>
      <c r="D57" s="67" t="s">
        <v>259</v>
      </c>
      <c r="E57" s="66" t="s">
        <v>263</v>
      </c>
      <c r="F57" s="67" t="s">
        <v>259</v>
      </c>
      <c r="G57" s="66" t="s">
        <v>267</v>
      </c>
      <c r="H57" s="67" t="s">
        <v>279</v>
      </c>
      <c r="I57" s="65" t="s">
        <v>280</v>
      </c>
      <c r="J57" s="65" t="s">
        <v>280</v>
      </c>
      <c r="K57" s="65" t="s">
        <v>281</v>
      </c>
      <c r="L57" s="65" t="s">
        <v>280</v>
      </c>
      <c r="M57" s="68">
        <f t="shared" si="52"/>
        <v>37676.399999999994</v>
      </c>
      <c r="N57" s="68"/>
      <c r="O57" s="68"/>
      <c r="P57" s="68">
        <f>1065.06+8720.96+20687+7203.38</f>
        <v>37676.399999999994</v>
      </c>
      <c r="Q57" s="68"/>
      <c r="R57" s="68"/>
      <c r="S57" s="68"/>
      <c r="T57" s="68"/>
      <c r="U57" s="68">
        <v>1</v>
      </c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>
        <v>1</v>
      </c>
      <c r="AI57" s="68"/>
      <c r="AJ57" s="68"/>
      <c r="AK57" s="68">
        <v>1</v>
      </c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>
        <v>1</v>
      </c>
      <c r="BF57" s="68"/>
      <c r="BG57" s="68"/>
      <c r="BH57" s="68"/>
      <c r="BI57" s="68"/>
      <c r="BJ57" s="68"/>
      <c r="BK57" s="68"/>
      <c r="BL57" s="68"/>
      <c r="BM57" s="68"/>
      <c r="BN57" s="68">
        <v>1</v>
      </c>
      <c r="BO57" s="68"/>
      <c r="BP57" s="68"/>
      <c r="BQ57" s="68"/>
      <c r="BR57" s="68"/>
      <c r="BS57" s="68"/>
      <c r="BT57" s="68"/>
    </row>
    <row r="58" spans="1:72" ht="25.5" x14ac:dyDescent="0.2">
      <c r="A58" s="61">
        <v>204</v>
      </c>
      <c r="B58" s="62" t="s">
        <v>75</v>
      </c>
      <c r="C58" s="63" t="s">
        <v>140</v>
      </c>
      <c r="D58" s="63" t="s">
        <v>259</v>
      </c>
      <c r="E58" s="62" t="s">
        <v>263</v>
      </c>
      <c r="F58" s="63" t="s">
        <v>259</v>
      </c>
      <c r="G58" s="62" t="s">
        <v>262</v>
      </c>
      <c r="H58" s="63" t="s">
        <v>279</v>
      </c>
      <c r="I58" s="61" t="s">
        <v>280</v>
      </c>
      <c r="J58" s="61" t="s">
        <v>281</v>
      </c>
      <c r="K58" s="61" t="s">
        <v>281</v>
      </c>
      <c r="L58" s="61" t="s">
        <v>280</v>
      </c>
      <c r="M58" s="64">
        <f t="shared" si="52"/>
        <v>0</v>
      </c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</row>
    <row r="59" spans="1:72" s="69" customFormat="1" ht="25.5" x14ac:dyDescent="0.2">
      <c r="A59" s="65">
        <v>206</v>
      </c>
      <c r="B59" s="66" t="s">
        <v>75</v>
      </c>
      <c r="C59" s="67" t="s">
        <v>141</v>
      </c>
      <c r="D59" s="67" t="s">
        <v>259</v>
      </c>
      <c r="E59" s="66" t="s">
        <v>260</v>
      </c>
      <c r="F59" s="67" t="s">
        <v>259</v>
      </c>
      <c r="G59" s="66" t="s">
        <v>261</v>
      </c>
      <c r="H59" s="67" t="s">
        <v>282</v>
      </c>
      <c r="I59" s="65" t="s">
        <v>280</v>
      </c>
      <c r="J59" s="65" t="s">
        <v>281</v>
      </c>
      <c r="K59" s="65" t="s">
        <v>281</v>
      </c>
      <c r="L59" s="65" t="s">
        <v>280</v>
      </c>
      <c r="M59" s="68">
        <f t="shared" si="52"/>
        <v>7191.8350000000009</v>
      </c>
      <c r="N59" s="68"/>
      <c r="O59" s="68"/>
      <c r="P59" s="68">
        <f>1117.998+6073.837</f>
        <v>7191.8350000000009</v>
      </c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>
        <v>1</v>
      </c>
      <c r="AF59" s="68">
        <v>1</v>
      </c>
      <c r="AG59" s="68">
        <v>1</v>
      </c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>
        <v>1</v>
      </c>
      <c r="BI59" s="68"/>
      <c r="BJ59" s="68">
        <v>1</v>
      </c>
      <c r="BK59" s="68"/>
      <c r="BL59" s="68"/>
      <c r="BM59" s="68">
        <v>1</v>
      </c>
      <c r="BN59" s="68"/>
      <c r="BO59" s="68"/>
      <c r="BP59" s="68"/>
      <c r="BQ59" s="68"/>
      <c r="BR59" s="68"/>
      <c r="BS59" s="68"/>
      <c r="BT59" s="68"/>
    </row>
    <row r="60" spans="1:72" s="69" customFormat="1" ht="25.5" x14ac:dyDescent="0.2">
      <c r="A60" s="65">
        <v>210</v>
      </c>
      <c r="B60" s="66" t="s">
        <v>75</v>
      </c>
      <c r="C60" s="67" t="s">
        <v>142</v>
      </c>
      <c r="D60" s="67" t="s">
        <v>259</v>
      </c>
      <c r="E60" s="66" t="s">
        <v>260</v>
      </c>
      <c r="F60" s="67" t="s">
        <v>259</v>
      </c>
      <c r="G60" s="66" t="s">
        <v>261</v>
      </c>
      <c r="H60" s="67" t="s">
        <v>279</v>
      </c>
      <c r="I60" s="65" t="s">
        <v>280</v>
      </c>
      <c r="J60" s="65" t="s">
        <v>280</v>
      </c>
      <c r="K60" s="65" t="s">
        <v>281</v>
      </c>
      <c r="L60" s="65" t="s">
        <v>280</v>
      </c>
      <c r="M60" s="68">
        <f t="shared" si="52"/>
        <v>36903.699999999997</v>
      </c>
      <c r="N60" s="68"/>
      <c r="O60" s="68"/>
      <c r="P60" s="68">
        <f>17553.5+19350.2</f>
        <v>36903.699999999997</v>
      </c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>
        <v>1</v>
      </c>
      <c r="AF60" s="68"/>
      <c r="AG60" s="68"/>
      <c r="AH60" s="68"/>
      <c r="AI60" s="68"/>
      <c r="AJ60" s="68" t="s">
        <v>386</v>
      </c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>
        <v>1</v>
      </c>
      <c r="BF60" s="68"/>
      <c r="BG60" s="68"/>
      <c r="BH60" s="68">
        <v>1</v>
      </c>
      <c r="BI60" s="68"/>
      <c r="BJ60" s="68">
        <v>1</v>
      </c>
      <c r="BK60" s="68"/>
      <c r="BL60" s="68"/>
      <c r="BM60" s="68"/>
      <c r="BN60" s="68"/>
      <c r="BO60" s="68"/>
      <c r="BP60" s="68"/>
      <c r="BQ60" s="68"/>
      <c r="BR60" s="68">
        <v>1</v>
      </c>
      <c r="BS60" s="68"/>
      <c r="BT60" s="68"/>
    </row>
    <row r="61" spans="1:72" s="69" customFormat="1" ht="25.5" x14ac:dyDescent="0.2">
      <c r="A61" s="65">
        <v>214</v>
      </c>
      <c r="B61" s="66" t="s">
        <v>77</v>
      </c>
      <c r="C61" s="67" t="s">
        <v>143</v>
      </c>
      <c r="D61" s="67" t="s">
        <v>259</v>
      </c>
      <c r="E61" s="66" t="s">
        <v>263</v>
      </c>
      <c r="F61" s="67"/>
      <c r="G61" s="66"/>
      <c r="H61" s="67" t="s">
        <v>282</v>
      </c>
      <c r="I61" s="65" t="s">
        <v>280</v>
      </c>
      <c r="J61" s="65" t="s">
        <v>281</v>
      </c>
      <c r="K61" s="65" t="s">
        <v>281</v>
      </c>
      <c r="L61" s="65" t="s">
        <v>281</v>
      </c>
      <c r="M61" s="68">
        <f t="shared" si="52"/>
        <v>65862.312000000005</v>
      </c>
      <c r="N61" s="68"/>
      <c r="O61" s="68">
        <v>65862.312000000005</v>
      </c>
      <c r="P61" s="68"/>
      <c r="Q61" s="68"/>
      <c r="R61" s="68"/>
      <c r="S61" s="68"/>
      <c r="T61" s="68"/>
      <c r="U61" s="68">
        <v>1</v>
      </c>
      <c r="V61" s="68">
        <v>1</v>
      </c>
      <c r="W61" s="68">
        <v>1</v>
      </c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>
        <v>1</v>
      </c>
      <c r="AN61" s="68"/>
      <c r="AO61" s="68"/>
      <c r="AP61" s="68"/>
      <c r="AQ61" s="68"/>
      <c r="AR61" s="68">
        <v>1</v>
      </c>
      <c r="AS61" s="68">
        <v>1</v>
      </c>
      <c r="AT61" s="68"/>
      <c r="AU61" s="68"/>
      <c r="AV61" s="68">
        <v>1</v>
      </c>
      <c r="AW61" s="68"/>
      <c r="AX61" s="68"/>
      <c r="AY61" s="68"/>
      <c r="AZ61" s="68"/>
      <c r="BA61" s="68"/>
      <c r="BB61" s="68">
        <v>1</v>
      </c>
      <c r="BC61" s="68"/>
      <c r="BD61" s="68"/>
      <c r="BE61" s="68"/>
      <c r="BF61" s="68">
        <v>1</v>
      </c>
      <c r="BG61" s="68"/>
      <c r="BH61" s="68"/>
      <c r="BI61" s="68"/>
      <c r="BJ61" s="68"/>
      <c r="BK61" s="68"/>
      <c r="BL61" s="68">
        <v>1</v>
      </c>
      <c r="BM61" s="68"/>
      <c r="BN61" s="68"/>
      <c r="BO61" s="68"/>
      <c r="BP61" s="68">
        <v>1</v>
      </c>
      <c r="BQ61" s="68"/>
      <c r="BR61" s="68"/>
      <c r="BS61" s="68"/>
      <c r="BT61" s="68"/>
    </row>
    <row r="62" spans="1:72" s="69" customFormat="1" ht="25.5" x14ac:dyDescent="0.2">
      <c r="A62" s="65">
        <v>218</v>
      </c>
      <c r="B62" s="66" t="s">
        <v>75</v>
      </c>
      <c r="C62" s="67" t="s">
        <v>144</v>
      </c>
      <c r="D62" s="67" t="s">
        <v>259</v>
      </c>
      <c r="E62" s="66" t="s">
        <v>263</v>
      </c>
      <c r="F62" s="67"/>
      <c r="G62" s="66"/>
      <c r="H62" s="67" t="s">
        <v>279</v>
      </c>
      <c r="I62" s="65" t="s">
        <v>280</v>
      </c>
      <c r="J62" s="65" t="s">
        <v>281</v>
      </c>
      <c r="K62" s="65" t="s">
        <v>281</v>
      </c>
      <c r="L62" s="65" t="s">
        <v>281</v>
      </c>
      <c r="M62" s="68">
        <f t="shared" si="52"/>
        <v>3146</v>
      </c>
      <c r="N62" s="68">
        <v>3146</v>
      </c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>
        <v>1</v>
      </c>
      <c r="AI62" s="68"/>
      <c r="AJ62" s="68"/>
      <c r="AK62" s="68">
        <v>1</v>
      </c>
      <c r="AL62" s="68">
        <v>1</v>
      </c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>
        <v>1</v>
      </c>
      <c r="BI62" s="68"/>
      <c r="BJ62" s="68"/>
      <c r="BK62" s="68"/>
      <c r="BL62" s="68"/>
      <c r="BM62" s="68"/>
      <c r="BN62" s="68">
        <v>1</v>
      </c>
      <c r="BO62" s="68"/>
      <c r="BP62" s="68"/>
      <c r="BQ62" s="68"/>
      <c r="BR62" s="68">
        <v>1</v>
      </c>
      <c r="BS62" s="68"/>
      <c r="BT62" s="68"/>
    </row>
    <row r="63" spans="1:72" s="69" customFormat="1" ht="25.5" x14ac:dyDescent="0.2">
      <c r="A63" s="65">
        <v>222</v>
      </c>
      <c r="B63" s="66" t="s">
        <v>78</v>
      </c>
      <c r="C63" s="67" t="s">
        <v>145</v>
      </c>
      <c r="D63" s="67" t="s">
        <v>259</v>
      </c>
      <c r="E63" s="66" t="s">
        <v>263</v>
      </c>
      <c r="F63" s="67"/>
      <c r="G63" s="66"/>
      <c r="H63" s="67" t="s">
        <v>279</v>
      </c>
      <c r="I63" s="65" t="s">
        <v>280</v>
      </c>
      <c r="J63" s="65" t="s">
        <v>281</v>
      </c>
      <c r="K63" s="65" t="s">
        <v>281</v>
      </c>
      <c r="L63" s="65" t="s">
        <v>281</v>
      </c>
      <c r="M63" s="68">
        <f t="shared" si="52"/>
        <v>130543.4</v>
      </c>
      <c r="N63" s="68">
        <f>105515.7</f>
        <v>105515.7</v>
      </c>
      <c r="O63" s="68">
        <f>10314.5+12062.5</f>
        <v>22377</v>
      </c>
      <c r="P63" s="68">
        <v>2650.7</v>
      </c>
      <c r="Q63" s="68"/>
      <c r="R63" s="68"/>
      <c r="S63" s="68"/>
      <c r="T63" s="68"/>
      <c r="U63" s="68"/>
      <c r="V63" s="68"/>
      <c r="W63" s="68"/>
      <c r="X63" s="68"/>
      <c r="Y63" s="68"/>
      <c r="Z63" s="68">
        <v>1</v>
      </c>
      <c r="AA63" s="68">
        <v>1</v>
      </c>
      <c r="AB63" s="68">
        <v>1</v>
      </c>
      <c r="AC63" s="68">
        <v>1</v>
      </c>
      <c r="AD63" s="68"/>
      <c r="AE63" s="68">
        <v>1</v>
      </c>
      <c r="AF63" s="68">
        <v>1</v>
      </c>
      <c r="AG63" s="68">
        <v>1</v>
      </c>
      <c r="AH63" s="68">
        <v>1</v>
      </c>
      <c r="AI63" s="68">
        <v>1</v>
      </c>
      <c r="AJ63" s="68"/>
      <c r="AK63" s="68">
        <v>1</v>
      </c>
      <c r="AL63" s="68">
        <v>1</v>
      </c>
      <c r="AM63" s="68">
        <v>1</v>
      </c>
      <c r="AN63" s="68"/>
      <c r="AO63" s="68"/>
      <c r="AP63" s="68"/>
      <c r="AQ63" s="68"/>
      <c r="AR63" s="68">
        <v>1</v>
      </c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>
        <v>1</v>
      </c>
      <c r="BE63" s="68"/>
      <c r="BF63" s="68"/>
      <c r="BG63" s="68"/>
      <c r="BH63" s="68"/>
      <c r="BI63" s="68"/>
      <c r="BJ63" s="68"/>
      <c r="BK63" s="68"/>
      <c r="BL63" s="68"/>
      <c r="BM63" s="68">
        <v>1</v>
      </c>
      <c r="BN63" s="68"/>
      <c r="BO63" s="68"/>
      <c r="BP63" s="68"/>
      <c r="BQ63" s="68"/>
      <c r="BR63" s="68"/>
      <c r="BS63" s="68"/>
      <c r="BT63" s="68"/>
    </row>
    <row r="64" spans="1:72" s="69" customFormat="1" ht="25.5" x14ac:dyDescent="0.2">
      <c r="A64" s="65">
        <v>224</v>
      </c>
      <c r="B64" s="66" t="s">
        <v>75</v>
      </c>
      <c r="C64" s="67" t="s">
        <v>146</v>
      </c>
      <c r="D64" s="67" t="s">
        <v>259</v>
      </c>
      <c r="E64" s="66" t="s">
        <v>260</v>
      </c>
      <c r="F64" s="67" t="s">
        <v>259</v>
      </c>
      <c r="G64" s="66" t="s">
        <v>261</v>
      </c>
      <c r="H64" s="67" t="s">
        <v>279</v>
      </c>
      <c r="I64" s="65" t="s">
        <v>280</v>
      </c>
      <c r="J64" s="65" t="s">
        <v>281</v>
      </c>
      <c r="K64" s="65" t="s">
        <v>281</v>
      </c>
      <c r="L64" s="65" t="s">
        <v>280</v>
      </c>
      <c r="M64" s="68">
        <f t="shared" si="52"/>
        <v>33988</v>
      </c>
      <c r="N64" s="68">
        <f>9354+1398+5500</f>
        <v>16252</v>
      </c>
      <c r="O64" s="68"/>
      <c r="P64" s="68">
        <f>2297+779+4401+4688+5571</f>
        <v>17736</v>
      </c>
      <c r="Q64" s="68"/>
      <c r="R64" s="68"/>
      <c r="S64" s="68"/>
      <c r="T64" s="68"/>
      <c r="U64" s="68">
        <v>1</v>
      </c>
      <c r="V64" s="68">
        <v>1</v>
      </c>
      <c r="W64" s="68"/>
      <c r="X64" s="68"/>
      <c r="Y64" s="68"/>
      <c r="Z64" s="68">
        <v>1</v>
      </c>
      <c r="AA64" s="68"/>
      <c r="AB64" s="68"/>
      <c r="AC64" s="68">
        <v>1</v>
      </c>
      <c r="AD64" s="68">
        <v>1</v>
      </c>
      <c r="AE64" s="68">
        <v>1</v>
      </c>
      <c r="AF64" s="68">
        <v>1</v>
      </c>
      <c r="AG64" s="68">
        <v>1</v>
      </c>
      <c r="AH64" s="68">
        <v>1</v>
      </c>
      <c r="AI64" s="68"/>
      <c r="AJ64" s="68"/>
      <c r="AK64" s="68">
        <v>1</v>
      </c>
      <c r="AL64" s="68">
        <v>1</v>
      </c>
      <c r="AM64" s="68"/>
      <c r="AN64" s="68">
        <v>1</v>
      </c>
      <c r="AO64" s="68">
        <v>1</v>
      </c>
      <c r="AP64" s="68"/>
      <c r="AQ64" s="68"/>
      <c r="AR64" s="68">
        <v>1</v>
      </c>
      <c r="AS64" s="68"/>
      <c r="AT64" s="68"/>
      <c r="AU64" s="68"/>
      <c r="AV64" s="68"/>
      <c r="AW64" s="68"/>
      <c r="AX64" s="68"/>
      <c r="AY64" s="68"/>
      <c r="AZ64" s="68"/>
      <c r="BA64" s="68"/>
      <c r="BB64" s="68">
        <v>1</v>
      </c>
      <c r="BC64" s="68"/>
      <c r="BD64" s="68"/>
      <c r="BE64" s="68">
        <v>1</v>
      </c>
      <c r="BF64" s="68"/>
      <c r="BG64" s="68">
        <v>1</v>
      </c>
      <c r="BH64" s="68">
        <v>1</v>
      </c>
      <c r="BI64" s="68"/>
      <c r="BJ64" s="68"/>
      <c r="BK64" s="68"/>
      <c r="BL64" s="68"/>
      <c r="BM64" s="68">
        <v>1</v>
      </c>
      <c r="BN64" s="68">
        <v>1</v>
      </c>
      <c r="BO64" s="68"/>
      <c r="BP64" s="68">
        <v>1</v>
      </c>
      <c r="BQ64" s="68"/>
      <c r="BR64" s="68"/>
      <c r="BS64" s="68">
        <v>1</v>
      </c>
      <c r="BT64" s="68"/>
    </row>
    <row r="65" spans="1:72" s="69" customFormat="1" ht="25.5" x14ac:dyDescent="0.2">
      <c r="A65" s="65">
        <v>228</v>
      </c>
      <c r="B65" s="66" t="s">
        <v>75</v>
      </c>
      <c r="C65" s="67" t="s">
        <v>147</v>
      </c>
      <c r="D65" s="67" t="s">
        <v>259</v>
      </c>
      <c r="E65" s="66" t="s">
        <v>260</v>
      </c>
      <c r="F65" s="67" t="s">
        <v>259</v>
      </c>
      <c r="G65" s="66" t="s">
        <v>261</v>
      </c>
      <c r="H65" s="67" t="s">
        <v>279</v>
      </c>
      <c r="I65" s="65" t="s">
        <v>280</v>
      </c>
      <c r="J65" s="65" t="s">
        <v>281</v>
      </c>
      <c r="K65" s="65" t="s">
        <v>281</v>
      </c>
      <c r="L65" s="65" t="s">
        <v>280</v>
      </c>
      <c r="M65" s="68">
        <f t="shared" si="52"/>
        <v>5103.3348999999998</v>
      </c>
      <c r="N65" s="68"/>
      <c r="O65" s="68"/>
      <c r="P65" s="68">
        <f>766.3824+1028.9238+508.2216+342.6211+2457.186</f>
        <v>5103.3348999999998</v>
      </c>
      <c r="Q65" s="68"/>
      <c r="R65" s="68"/>
      <c r="S65" s="68"/>
      <c r="T65" s="68"/>
      <c r="U65" s="68">
        <v>1</v>
      </c>
      <c r="V65" s="68">
        <v>1</v>
      </c>
      <c r="W65" s="68">
        <v>1</v>
      </c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1</v>
      </c>
      <c r="AP65" s="68"/>
      <c r="AQ65" s="68"/>
      <c r="AR65" s="68"/>
      <c r="AS65" s="68"/>
      <c r="AT65" s="68"/>
      <c r="AU65" s="68">
        <v>1</v>
      </c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>
        <v>1</v>
      </c>
      <c r="BI65" s="68"/>
      <c r="BJ65" s="68"/>
      <c r="BK65" s="68"/>
      <c r="BL65" s="68"/>
      <c r="BM65" s="68"/>
      <c r="BN65" s="68">
        <v>1</v>
      </c>
      <c r="BO65" s="68"/>
      <c r="BP65" s="68"/>
      <c r="BQ65" s="68"/>
      <c r="BR65" s="68"/>
      <c r="BS65" s="68"/>
      <c r="BT65" s="68"/>
    </row>
    <row r="66" spans="1:72" ht="25.5" x14ac:dyDescent="0.2">
      <c r="A66" s="61">
        <v>236</v>
      </c>
      <c r="B66" s="62" t="s">
        <v>79</v>
      </c>
      <c r="C66" s="63" t="s">
        <v>148</v>
      </c>
      <c r="D66" s="63" t="s">
        <v>259</v>
      </c>
      <c r="E66" s="62" t="s">
        <v>260</v>
      </c>
      <c r="F66" s="63" t="s">
        <v>259</v>
      </c>
      <c r="G66" s="62" t="s">
        <v>261</v>
      </c>
      <c r="H66" s="63" t="s">
        <v>279</v>
      </c>
      <c r="I66" s="61" t="s">
        <v>280</v>
      </c>
      <c r="J66" s="61" t="s">
        <v>281</v>
      </c>
      <c r="K66" s="61" t="s">
        <v>281</v>
      </c>
      <c r="L66" s="61" t="s">
        <v>280</v>
      </c>
      <c r="M66" s="64">
        <f t="shared" si="52"/>
        <v>0</v>
      </c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</row>
    <row r="67" spans="1:72" ht="25.5" x14ac:dyDescent="0.2">
      <c r="A67" s="61">
        <v>241</v>
      </c>
      <c r="B67" s="62" t="s">
        <v>75</v>
      </c>
      <c r="C67" s="63" t="s">
        <v>149</v>
      </c>
      <c r="D67" s="63" t="s">
        <v>259</v>
      </c>
      <c r="E67" s="62" t="s">
        <v>260</v>
      </c>
      <c r="F67" s="63" t="s">
        <v>259</v>
      </c>
      <c r="G67" s="62" t="s">
        <v>269</v>
      </c>
      <c r="H67" s="63" t="s">
        <v>282</v>
      </c>
      <c r="I67" s="61" t="s">
        <v>280</v>
      </c>
      <c r="J67" s="61" t="s">
        <v>281</v>
      </c>
      <c r="K67" s="61" t="s">
        <v>281</v>
      </c>
      <c r="L67" s="61" t="s">
        <v>280</v>
      </c>
      <c r="M67" s="64">
        <f t="shared" si="52"/>
        <v>0</v>
      </c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</row>
    <row r="68" spans="1:72" s="69" customFormat="1" ht="25.5" x14ac:dyDescent="0.2">
      <c r="A68" s="65">
        <v>265</v>
      </c>
      <c r="B68" s="66" t="s">
        <v>79</v>
      </c>
      <c r="C68" s="67" t="s">
        <v>150</v>
      </c>
      <c r="D68" s="67" t="s">
        <v>259</v>
      </c>
      <c r="E68" s="66" t="s">
        <v>260</v>
      </c>
      <c r="F68" s="67" t="s">
        <v>259</v>
      </c>
      <c r="G68" s="66" t="s">
        <v>261</v>
      </c>
      <c r="H68" s="67" t="s">
        <v>279</v>
      </c>
      <c r="I68" s="65" t="s">
        <v>280</v>
      </c>
      <c r="J68" s="65" t="s">
        <v>281</v>
      </c>
      <c r="K68" s="65" t="s">
        <v>281</v>
      </c>
      <c r="L68" s="65" t="s">
        <v>280</v>
      </c>
      <c r="M68" s="68">
        <f t="shared" si="52"/>
        <v>0</v>
      </c>
      <c r="N68" s="68">
        <v>0</v>
      </c>
      <c r="O68" s="68">
        <v>0</v>
      </c>
      <c r="P68" s="68">
        <v>0</v>
      </c>
      <c r="Q68" s="68">
        <v>0</v>
      </c>
      <c r="R68" s="68">
        <v>0</v>
      </c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</row>
    <row r="69" spans="1:72" ht="25.5" x14ac:dyDescent="0.2">
      <c r="A69" s="61">
        <v>272</v>
      </c>
      <c r="B69" s="62" t="s">
        <v>80</v>
      </c>
      <c r="C69" s="63" t="s">
        <v>151</v>
      </c>
      <c r="D69" s="63" t="s">
        <v>259</v>
      </c>
      <c r="E69" s="62" t="s">
        <v>263</v>
      </c>
      <c r="F69" s="63"/>
      <c r="G69" s="62"/>
      <c r="H69" s="63" t="s">
        <v>282</v>
      </c>
      <c r="I69" s="61" t="s">
        <v>280</v>
      </c>
      <c r="J69" s="61" t="s">
        <v>281</v>
      </c>
      <c r="K69" s="61" t="s">
        <v>281</v>
      </c>
      <c r="L69" s="61" t="s">
        <v>281</v>
      </c>
      <c r="M69" s="64">
        <f t="shared" si="52"/>
        <v>0</v>
      </c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</row>
    <row r="70" spans="1:72" s="69" customFormat="1" ht="25.5" x14ac:dyDescent="0.2">
      <c r="A70" s="65">
        <v>281</v>
      </c>
      <c r="B70" s="66" t="s">
        <v>75</v>
      </c>
      <c r="C70" s="67" t="s">
        <v>152</v>
      </c>
      <c r="D70" s="67" t="s">
        <v>254</v>
      </c>
      <c r="E70" s="66" t="s">
        <v>255</v>
      </c>
      <c r="F70" s="67" t="s">
        <v>254</v>
      </c>
      <c r="G70" s="66" t="s">
        <v>258</v>
      </c>
      <c r="H70" s="67" t="s">
        <v>279</v>
      </c>
      <c r="I70" s="65" t="s">
        <v>280</v>
      </c>
      <c r="J70" s="65" t="s">
        <v>281</v>
      </c>
      <c r="K70" s="65" t="s">
        <v>281</v>
      </c>
      <c r="L70" s="65" t="s">
        <v>280</v>
      </c>
      <c r="M70" s="68">
        <f t="shared" ref="M70:M133" si="53">N70+O70+P70+Q70+R70+S70</f>
        <v>121454</v>
      </c>
      <c r="N70" s="68">
        <f>1000+335+4891+4876+1936+14514+1898</f>
        <v>29450</v>
      </c>
      <c r="O70" s="68"/>
      <c r="P70" s="68">
        <f>61090+30914</f>
        <v>92004</v>
      </c>
      <c r="Q70" s="68"/>
      <c r="R70" s="68"/>
      <c r="S70" s="68"/>
      <c r="T70" s="68"/>
      <c r="U70" s="68">
        <v>1</v>
      </c>
      <c r="V70" s="68">
        <v>1</v>
      </c>
      <c r="W70" s="68">
        <v>1</v>
      </c>
      <c r="X70" s="68"/>
      <c r="Y70" s="68"/>
      <c r="Z70" s="68">
        <v>1</v>
      </c>
      <c r="AA70" s="68">
        <v>1</v>
      </c>
      <c r="AB70" s="68"/>
      <c r="AC70" s="68"/>
      <c r="AD70" s="68">
        <v>1</v>
      </c>
      <c r="AE70" s="68">
        <v>1</v>
      </c>
      <c r="AF70" s="68">
        <v>1</v>
      </c>
      <c r="AG70" s="68"/>
      <c r="AH70" s="68"/>
      <c r="AI70" s="68"/>
      <c r="AJ70" s="68">
        <v>1</v>
      </c>
      <c r="AK70" s="68">
        <v>1</v>
      </c>
      <c r="AL70" s="68">
        <v>1</v>
      </c>
      <c r="AM70" s="68"/>
      <c r="AN70" s="68"/>
      <c r="AO70" s="68">
        <v>1</v>
      </c>
      <c r="AP70" s="68">
        <v>1</v>
      </c>
      <c r="AQ70" s="68"/>
      <c r="AR70" s="68"/>
      <c r="AS70" s="68"/>
      <c r="AT70" s="68"/>
      <c r="AU70" s="68">
        <v>1</v>
      </c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>
        <v>1</v>
      </c>
      <c r="BH70" s="68">
        <v>1</v>
      </c>
      <c r="BI70" s="68"/>
      <c r="BJ70" s="68">
        <v>1</v>
      </c>
      <c r="BK70" s="68">
        <v>1</v>
      </c>
      <c r="BL70" s="68"/>
      <c r="BM70" s="68"/>
      <c r="BN70" s="68">
        <v>1</v>
      </c>
      <c r="BO70" s="68"/>
      <c r="BP70" s="68"/>
      <c r="BQ70" s="68"/>
      <c r="BR70" s="68"/>
      <c r="BS70" s="68"/>
      <c r="BT70" s="68"/>
    </row>
    <row r="71" spans="1:72" s="69" customFormat="1" ht="25.5" x14ac:dyDescent="0.2">
      <c r="A71" s="65">
        <v>287</v>
      </c>
      <c r="B71" s="66" t="s">
        <v>75</v>
      </c>
      <c r="C71" s="67" t="s">
        <v>153</v>
      </c>
      <c r="D71" s="67" t="s">
        <v>272</v>
      </c>
      <c r="E71" s="66" t="s">
        <v>273</v>
      </c>
      <c r="F71" s="67" t="s">
        <v>254</v>
      </c>
      <c r="G71" s="66" t="s">
        <v>274</v>
      </c>
      <c r="H71" s="67" t="s">
        <v>279</v>
      </c>
      <c r="I71" s="65" t="s">
        <v>280</v>
      </c>
      <c r="J71" s="65" t="s">
        <v>280</v>
      </c>
      <c r="K71" s="65" t="s">
        <v>281</v>
      </c>
      <c r="L71" s="65" t="s">
        <v>280</v>
      </c>
      <c r="M71" s="68">
        <f t="shared" si="53"/>
        <v>12227677.23</v>
      </c>
      <c r="N71" s="68">
        <v>12227677.23</v>
      </c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>
        <v>1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>
        <v>1</v>
      </c>
      <c r="AV71" s="68"/>
      <c r="AW71" s="68"/>
      <c r="AX71" s="68"/>
      <c r="AY71" s="68"/>
      <c r="AZ71" s="68"/>
      <c r="BA71" s="68">
        <v>1</v>
      </c>
      <c r="BB71" s="68"/>
      <c r="BC71" s="68"/>
      <c r="BD71" s="68"/>
      <c r="BE71" s="68"/>
      <c r="BF71" s="68"/>
      <c r="BG71" s="68"/>
      <c r="BH71" s="68">
        <v>1</v>
      </c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>
        <v>1</v>
      </c>
    </row>
    <row r="72" spans="1:72" s="69" customFormat="1" ht="25.5" x14ac:dyDescent="0.2">
      <c r="A72" s="65">
        <v>289</v>
      </c>
      <c r="B72" s="66" t="s">
        <v>75</v>
      </c>
      <c r="C72" s="67" t="s">
        <v>154</v>
      </c>
      <c r="D72" s="67" t="s">
        <v>254</v>
      </c>
      <c r="E72" s="66" t="s">
        <v>270</v>
      </c>
      <c r="F72" s="67" t="s">
        <v>259</v>
      </c>
      <c r="G72" s="66" t="s">
        <v>271</v>
      </c>
      <c r="H72" s="67" t="s">
        <v>279</v>
      </c>
      <c r="I72" s="65" t="s">
        <v>280</v>
      </c>
      <c r="J72" s="65" t="s">
        <v>280</v>
      </c>
      <c r="K72" s="65" t="s">
        <v>281</v>
      </c>
      <c r="L72" s="65" t="s">
        <v>280</v>
      </c>
      <c r="M72" s="68">
        <f t="shared" si="53"/>
        <v>26273</v>
      </c>
      <c r="N72" s="68"/>
      <c r="O72" s="68"/>
      <c r="P72" s="68">
        <f>2880+23393</f>
        <v>26273</v>
      </c>
      <c r="Q72" s="68"/>
      <c r="R72" s="68"/>
      <c r="S72" s="68"/>
      <c r="T72" s="68"/>
      <c r="U72" s="68">
        <v>1</v>
      </c>
      <c r="V72" s="68"/>
      <c r="W72" s="68"/>
      <c r="X72" s="68"/>
      <c r="Y72" s="68"/>
      <c r="Z72" s="68">
        <v>1</v>
      </c>
      <c r="AA72" s="68">
        <v>1</v>
      </c>
      <c r="AB72" s="68">
        <v>1</v>
      </c>
      <c r="AC72" s="68"/>
      <c r="AD72" s="68"/>
      <c r="AE72" s="68"/>
      <c r="AF72" s="68"/>
      <c r="AG72" s="68"/>
      <c r="AH72" s="68"/>
      <c r="AI72" s="68"/>
      <c r="AJ72" s="68"/>
      <c r="AK72" s="68">
        <v>1</v>
      </c>
      <c r="AL72" s="68">
        <v>1</v>
      </c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>
        <v>1</v>
      </c>
      <c r="BF72" s="68"/>
      <c r="BG72" s="68"/>
      <c r="BH72" s="68">
        <v>1</v>
      </c>
      <c r="BI72" s="68"/>
      <c r="BJ72" s="68">
        <v>1</v>
      </c>
      <c r="BK72" s="68"/>
      <c r="BL72" s="68"/>
      <c r="BM72" s="68"/>
      <c r="BN72" s="68">
        <v>1</v>
      </c>
      <c r="BO72" s="68"/>
      <c r="BP72" s="68"/>
      <c r="BQ72" s="68"/>
      <c r="BR72" s="68">
        <v>1</v>
      </c>
      <c r="BS72" s="68"/>
      <c r="BT72" s="68"/>
    </row>
    <row r="73" spans="1:72" s="69" customFormat="1" ht="25.5" x14ac:dyDescent="0.2">
      <c r="A73" s="65">
        <v>292</v>
      </c>
      <c r="B73" s="66" t="s">
        <v>79</v>
      </c>
      <c r="C73" s="67" t="s">
        <v>155</v>
      </c>
      <c r="D73" s="67" t="s">
        <v>275</v>
      </c>
      <c r="E73" s="66" t="s">
        <v>276</v>
      </c>
      <c r="F73" s="67" t="s">
        <v>256</v>
      </c>
      <c r="G73" s="66" t="s">
        <v>257</v>
      </c>
      <c r="H73" s="67" t="s">
        <v>279</v>
      </c>
      <c r="I73" s="65" t="s">
        <v>280</v>
      </c>
      <c r="J73" s="65" t="s">
        <v>280</v>
      </c>
      <c r="K73" s="65" t="s">
        <v>281</v>
      </c>
      <c r="L73" s="65" t="s">
        <v>280</v>
      </c>
      <c r="M73" s="68">
        <f t="shared" si="53"/>
        <v>580577.35253000003</v>
      </c>
      <c r="N73" s="68">
        <f>44353.4436+2047.9068</f>
        <v>46401.350399999996</v>
      </c>
      <c r="O73" s="68">
        <f>184361.5248+252343.11773</f>
        <v>436704.64253000001</v>
      </c>
      <c r="P73" s="68">
        <f>5257.1196+92214.24</f>
        <v>97471.359600000011</v>
      </c>
      <c r="Q73" s="68"/>
      <c r="R73" s="68"/>
      <c r="S73" s="68"/>
      <c r="T73" s="68"/>
      <c r="U73" s="68">
        <v>1</v>
      </c>
      <c r="V73" s="68">
        <v>1</v>
      </c>
      <c r="W73" s="68">
        <v>1</v>
      </c>
      <c r="X73" s="68">
        <v>1</v>
      </c>
      <c r="Y73" s="68">
        <v>1</v>
      </c>
      <c r="Z73" s="68">
        <v>1</v>
      </c>
      <c r="AA73" s="68">
        <v>1</v>
      </c>
      <c r="AB73" s="68">
        <v>1</v>
      </c>
      <c r="AC73" s="68">
        <v>1</v>
      </c>
      <c r="AD73" s="68">
        <v>1</v>
      </c>
      <c r="AE73" s="68">
        <v>1</v>
      </c>
      <c r="AF73" s="68"/>
      <c r="AG73" s="68"/>
      <c r="AH73" s="68"/>
      <c r="AI73" s="68"/>
      <c r="AJ73" s="68">
        <v>1</v>
      </c>
      <c r="AK73" s="68">
        <v>1</v>
      </c>
      <c r="AL73" s="68">
        <v>1</v>
      </c>
      <c r="AM73" s="68">
        <v>1</v>
      </c>
      <c r="AN73" s="68">
        <v>1</v>
      </c>
      <c r="AO73" s="68">
        <v>1</v>
      </c>
      <c r="AP73" s="68"/>
      <c r="AQ73" s="68"/>
      <c r="AR73" s="68">
        <v>1</v>
      </c>
      <c r="AS73" s="68">
        <v>1</v>
      </c>
      <c r="AT73" s="68"/>
      <c r="AU73" s="68"/>
      <c r="AV73" s="68"/>
      <c r="AW73" s="68"/>
      <c r="AX73" s="68"/>
      <c r="AY73" s="68">
        <v>1</v>
      </c>
      <c r="AZ73" s="68"/>
      <c r="BA73" s="68"/>
      <c r="BB73" s="68">
        <v>1</v>
      </c>
      <c r="BC73" s="68"/>
      <c r="BD73" s="68"/>
      <c r="BE73" s="68"/>
      <c r="BF73" s="68"/>
      <c r="BG73" s="68">
        <v>1</v>
      </c>
      <c r="BH73" s="68">
        <v>1</v>
      </c>
      <c r="BI73" s="68"/>
      <c r="BJ73" s="68">
        <v>1</v>
      </c>
      <c r="BK73" s="68"/>
      <c r="BL73" s="68"/>
      <c r="BM73" s="68"/>
      <c r="BN73" s="68"/>
      <c r="BO73" s="68"/>
      <c r="BP73" s="68">
        <v>1</v>
      </c>
      <c r="BQ73" s="68"/>
      <c r="BR73" s="68"/>
      <c r="BS73" s="68"/>
      <c r="BT73" s="68"/>
    </row>
    <row r="74" spans="1:72" ht="25.5" x14ac:dyDescent="0.2">
      <c r="A74" s="61">
        <v>298</v>
      </c>
      <c r="B74" s="62" t="s">
        <v>75</v>
      </c>
      <c r="C74" s="63" t="s">
        <v>156</v>
      </c>
      <c r="D74" s="63" t="s">
        <v>259</v>
      </c>
      <c r="E74" s="62" t="s">
        <v>263</v>
      </c>
      <c r="F74" s="63" t="s">
        <v>259</v>
      </c>
      <c r="G74" s="62" t="s">
        <v>262</v>
      </c>
      <c r="H74" s="63" t="s">
        <v>279</v>
      </c>
      <c r="I74" s="61" t="s">
        <v>280</v>
      </c>
      <c r="J74" s="61" t="s">
        <v>281</v>
      </c>
      <c r="K74" s="61" t="s">
        <v>281</v>
      </c>
      <c r="L74" s="61" t="s">
        <v>280</v>
      </c>
      <c r="M74" s="64">
        <f t="shared" si="53"/>
        <v>0</v>
      </c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</row>
    <row r="75" spans="1:72" s="69" customFormat="1" ht="25.5" x14ac:dyDescent="0.2">
      <c r="A75" s="65">
        <v>304</v>
      </c>
      <c r="B75" s="66" t="s">
        <v>75</v>
      </c>
      <c r="C75" s="67" t="s">
        <v>157</v>
      </c>
      <c r="D75" s="67" t="s">
        <v>254</v>
      </c>
      <c r="E75" s="66" t="s">
        <v>255</v>
      </c>
      <c r="F75" s="67" t="s">
        <v>259</v>
      </c>
      <c r="G75" s="66" t="s">
        <v>262</v>
      </c>
      <c r="H75" s="67" t="s">
        <v>279</v>
      </c>
      <c r="I75" s="65" t="s">
        <v>280</v>
      </c>
      <c r="J75" s="65" t="s">
        <v>281</v>
      </c>
      <c r="K75" s="65" t="s">
        <v>281</v>
      </c>
      <c r="L75" s="65" t="s">
        <v>280</v>
      </c>
      <c r="M75" s="68">
        <f t="shared" si="53"/>
        <v>52146</v>
      </c>
      <c r="N75" s="68">
        <f>4473+47627+46</f>
        <v>52146</v>
      </c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>
        <v>1</v>
      </c>
      <c r="AA75" s="68">
        <v>1</v>
      </c>
      <c r="AB75" s="68">
        <v>1</v>
      </c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>
        <v>1</v>
      </c>
      <c r="BI75" s="68"/>
      <c r="BJ75" s="68"/>
      <c r="BK75" s="68"/>
      <c r="BL75" s="68">
        <v>1</v>
      </c>
      <c r="BM75" s="68"/>
      <c r="BN75" s="68"/>
      <c r="BO75" s="68"/>
      <c r="BP75" s="68"/>
      <c r="BQ75" s="68"/>
      <c r="BR75" s="68"/>
      <c r="BS75" s="68"/>
      <c r="BT75" s="68"/>
    </row>
    <row r="76" spans="1:72" s="69" customFormat="1" ht="25.5" x14ac:dyDescent="0.2">
      <c r="A76" s="65">
        <v>305</v>
      </c>
      <c r="B76" s="66" t="s">
        <v>75</v>
      </c>
      <c r="C76" s="67" t="s">
        <v>158</v>
      </c>
      <c r="D76" s="67" t="s">
        <v>259</v>
      </c>
      <c r="E76" s="66" t="s">
        <v>263</v>
      </c>
      <c r="F76" s="67"/>
      <c r="G76" s="66"/>
      <c r="H76" s="67" t="s">
        <v>279</v>
      </c>
      <c r="I76" s="65" t="s">
        <v>280</v>
      </c>
      <c r="J76" s="65" t="s">
        <v>281</v>
      </c>
      <c r="K76" s="65" t="s">
        <v>281</v>
      </c>
      <c r="L76" s="65" t="s">
        <v>281</v>
      </c>
      <c r="M76" s="68">
        <f t="shared" si="53"/>
        <v>123239.08499999999</v>
      </c>
      <c r="N76" s="68">
        <f>22768.089+96749.135+3721.861</f>
        <v>123239.08499999999</v>
      </c>
      <c r="O76" s="68"/>
      <c r="P76" s="68"/>
      <c r="Q76" s="68"/>
      <c r="R76" s="68"/>
      <c r="S76" s="68"/>
      <c r="T76" s="68"/>
      <c r="U76" s="68">
        <v>1</v>
      </c>
      <c r="V76" s="68">
        <v>1</v>
      </c>
      <c r="W76" s="68"/>
      <c r="X76" s="68"/>
      <c r="Y76" s="68"/>
      <c r="Z76" s="68">
        <v>1</v>
      </c>
      <c r="AA76" s="68">
        <v>1</v>
      </c>
      <c r="AB76" s="68">
        <v>1</v>
      </c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>
        <v>1</v>
      </c>
      <c r="BI76" s="68"/>
      <c r="BJ76" s="68"/>
      <c r="BK76" s="68"/>
      <c r="BL76" s="68">
        <v>1</v>
      </c>
      <c r="BM76" s="68"/>
      <c r="BN76" s="68"/>
      <c r="BO76" s="68"/>
      <c r="BP76" s="68"/>
      <c r="BQ76" s="68"/>
      <c r="BR76" s="68"/>
      <c r="BS76" s="68"/>
      <c r="BT76" s="68"/>
    </row>
    <row r="77" spans="1:72" s="69" customFormat="1" ht="25.5" x14ac:dyDescent="0.2">
      <c r="A77" s="65">
        <v>306</v>
      </c>
      <c r="B77" s="66" t="s">
        <v>75</v>
      </c>
      <c r="C77" s="67" t="s">
        <v>159</v>
      </c>
      <c r="D77" s="67" t="s">
        <v>275</v>
      </c>
      <c r="E77" s="66" t="s">
        <v>276</v>
      </c>
      <c r="F77" s="67" t="s">
        <v>275</v>
      </c>
      <c r="G77" s="66" t="s">
        <v>277</v>
      </c>
      <c r="H77" s="67" t="s">
        <v>279</v>
      </c>
      <c r="I77" s="65" t="s">
        <v>280</v>
      </c>
      <c r="J77" s="65" t="s">
        <v>280</v>
      </c>
      <c r="K77" s="65" t="s">
        <v>281</v>
      </c>
      <c r="L77" s="65" t="s">
        <v>280</v>
      </c>
      <c r="M77" s="68">
        <f t="shared" si="53"/>
        <v>6574195.6630000006</v>
      </c>
      <c r="N77" s="68">
        <f>48821.08+616763.7+535039.9+1558466.98+24830.389</f>
        <v>2783922.0490000001</v>
      </c>
      <c r="O77" s="68">
        <f>280024.299+76081+2706029.4+529340.27+9974.96+2157.38+1140.06+58260.045+106904.07+1021.72</f>
        <v>3770933.2039999999</v>
      </c>
      <c r="P77" s="68">
        <v>19340.41</v>
      </c>
      <c r="Q77" s="68"/>
      <c r="R77" s="68"/>
      <c r="S77" s="68"/>
      <c r="T77" s="68"/>
      <c r="U77" s="68">
        <v>1</v>
      </c>
      <c r="V77" s="68">
        <v>1</v>
      </c>
      <c r="W77" s="68"/>
      <c r="X77" s="68">
        <v>1</v>
      </c>
      <c r="Y77" s="68">
        <v>1</v>
      </c>
      <c r="Z77" s="68">
        <v>1</v>
      </c>
      <c r="AA77" s="68">
        <v>1</v>
      </c>
      <c r="AB77" s="68">
        <v>1</v>
      </c>
      <c r="AC77" s="68">
        <v>1</v>
      </c>
      <c r="AD77" s="68">
        <v>1</v>
      </c>
      <c r="AE77" s="68">
        <v>1</v>
      </c>
      <c r="AF77" s="68">
        <v>1</v>
      </c>
      <c r="AG77" s="68">
        <v>1</v>
      </c>
      <c r="AH77" s="68">
        <v>1</v>
      </c>
      <c r="AI77" s="68"/>
      <c r="AJ77" s="68">
        <v>1</v>
      </c>
      <c r="AK77" s="68">
        <v>1</v>
      </c>
      <c r="AL77" s="68"/>
      <c r="AM77" s="68">
        <v>1</v>
      </c>
      <c r="AN77" s="68">
        <v>1</v>
      </c>
      <c r="AO77" s="68">
        <v>1</v>
      </c>
      <c r="AP77" s="68">
        <v>1</v>
      </c>
      <c r="AQ77" s="68">
        <v>1</v>
      </c>
      <c r="AR77" s="68">
        <v>1</v>
      </c>
      <c r="AS77" s="68">
        <v>1</v>
      </c>
      <c r="AT77" s="68">
        <v>1</v>
      </c>
      <c r="AU77" s="68">
        <v>1</v>
      </c>
      <c r="AV77" s="68">
        <v>1</v>
      </c>
      <c r="AW77" s="68"/>
      <c r="AX77" s="68"/>
      <c r="AY77" s="68"/>
      <c r="AZ77" s="68"/>
      <c r="BA77" s="68">
        <v>1</v>
      </c>
      <c r="BB77" s="68"/>
      <c r="BC77" s="68">
        <v>1</v>
      </c>
      <c r="BD77" s="68"/>
      <c r="BE77" s="68"/>
      <c r="BF77" s="68"/>
      <c r="BG77" s="68">
        <v>1</v>
      </c>
      <c r="BH77" s="68">
        <v>1</v>
      </c>
      <c r="BI77" s="68"/>
      <c r="BJ77" s="68"/>
      <c r="BK77" s="68"/>
      <c r="BL77" s="68"/>
      <c r="BM77" s="68"/>
      <c r="BN77" s="68">
        <v>1</v>
      </c>
      <c r="BO77" s="68"/>
      <c r="BP77" s="68"/>
      <c r="BQ77" s="68"/>
      <c r="BR77" s="68">
        <v>1</v>
      </c>
      <c r="BS77" s="68"/>
      <c r="BT77" s="68"/>
    </row>
    <row r="78" spans="1:72" s="69" customFormat="1" ht="25.5" x14ac:dyDescent="0.2">
      <c r="A78" s="65">
        <v>308</v>
      </c>
      <c r="B78" s="66" t="s">
        <v>75</v>
      </c>
      <c r="C78" s="67" t="s">
        <v>160</v>
      </c>
      <c r="D78" s="67" t="s">
        <v>256</v>
      </c>
      <c r="E78" s="66" t="s">
        <v>268</v>
      </c>
      <c r="F78" s="67" t="s">
        <v>256</v>
      </c>
      <c r="G78" s="66" t="s">
        <v>257</v>
      </c>
      <c r="H78" s="67" t="s">
        <v>279</v>
      </c>
      <c r="I78" s="65" t="s">
        <v>280</v>
      </c>
      <c r="J78" s="65" t="s">
        <v>281</v>
      </c>
      <c r="K78" s="65" t="s">
        <v>281</v>
      </c>
      <c r="L78" s="65" t="s">
        <v>280</v>
      </c>
      <c r="M78" s="68">
        <f t="shared" si="53"/>
        <v>1308837.9000000001</v>
      </c>
      <c r="N78" s="68"/>
      <c r="O78" s="68"/>
      <c r="P78" s="68">
        <f>14413.9+19399.6+966.8+19826.4+19224.1+14796.9+14725.5+4333.4+4188+8466.8+8605+4240.1+5276+4937.4+4110.1+9338.1+716.2+733.2+741.8+740+13566.5+2238.2+2389.4+2282.8+2286.7+2455.2+2559+3156.6+2724.7+1872.7+434.6+7216.8+2685.8+2789.7+2418.1+4562.7+3385.4+385.9+2734.4+2217.4+2208.8+2203.4+2697.3+1599.8+1603.4+1268.2+5034.4+2742.8+4300.4+4122.8+4146.8+4173.2+4123+3955.1+4124.9+2845.9+2949.2+4593.1+4555.4+4397.3+4162.5+4421.9+3656+2002+4032.2+4627+4529.7+4158.2+630.3+2685.9+2789.7+2418.1+ 3713.5+5981.4+5469.4+8588.6+3897+1289.7+658+1466.9+2373+3102.5+3097.4+3060+3097.9+3145+3036.7+3267.4+2387.4+5024.1+1335.8+1188.3+2205.1+2493.5+1131.3+3218.1+2111.6+3136.3+3665.4+3551.8+3267.5+2910.8+6121.3+2413.3+291.9+307.4+3103.7+3634.3+3026.5+2141.7+1416+3048.6+1741.5+1843.2+1805.6+1512.2+2542.7+2823.3+945.4+47+310+454.4+360.5+374.5+370+388.7+338.6+2400.1+2552.5+2800.3+2976.9+1038.7+2041.3+2378+1981.4+2219.1+1089.6+1960.5+1288.5+5320.9+199.2+257.8+598.8+1545+3961.5+3968.2+2343.5+446.6+887.1+4787.6+1399.1+1400.4+5733.8+4737.2+4993.6+5571.6+999.7+1069.7+3087.5+4316.6+5312.4+5337.3+973.2+2131.4+4154.6+4217+2693.1+341.5+3659.8+387.8+894.9+5553.9+3457+3271.4+3096.2+3294.7+3239.8+3240.2+3362.3+2982.1+2862.2+2667.6+2777.6+3376.1+3222.4+3146.3+3303.7+3386+2817.8+3272+4735+7740.5+5131.2+851.4+2560.8+852+2782.1+882.4+2840+2510.9+1006.7+1169.2+1148.1+1237.9+1202.6+1524.5+1920.3+5616.7+1149.2+5088.1+5351+4271.6+2396.4+3813+450.3+3142.9+3230.4+5721.6+4520+5336.3+8232.3+8619.2+1976.8+2198.4+4060+12016.7+8091+10666.8+14077+5160.4+7418.5+6980.6+15817.4+10680.4+14025.5+1902.2+1161.8+12111.1+3163.1+11309.1+6802.2+6848.4+11190+11981.5+13318.7+7466+4300.9+4666.9+13219.6+15784+2868.4+3220.7+3302.3+3849.8+4154.1+5464.1+3554+7509+1907+2735.9+3758.9+3287.4+4238.7+3789.2+3587.4+4626.7+4257.9+4746.5+3597.5+3472.2+3534.5+526+692.5+1201.6+506.3+1161.8+986.5+763.9+885.8+257+472+4839.6+370.3+43122.2+8565.6+5530.4+1742.8+2640.9+3331.9+2698.7+2930.1+3846.2+6966.1+18537+13470.5+12993.6+7281+19694.1+18797.6+6114.8+18993+18732.9+605.7+11768.8</f>
        <v>1308837.9000000001</v>
      </c>
      <c r="Q78" s="68"/>
      <c r="R78" s="68"/>
      <c r="S78" s="68"/>
      <c r="T78" s="68"/>
      <c r="U78" s="68"/>
      <c r="V78" s="68"/>
      <c r="W78" s="68"/>
      <c r="X78" s="68"/>
      <c r="Y78" s="68"/>
      <c r="Z78" s="68">
        <v>1</v>
      </c>
      <c r="AA78" s="68"/>
      <c r="AB78" s="68"/>
      <c r="AC78" s="68">
        <v>1</v>
      </c>
      <c r="AD78" s="68"/>
      <c r="AE78" s="68"/>
      <c r="AF78" s="68"/>
      <c r="AG78" s="68">
        <v>1</v>
      </c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>
        <v>1</v>
      </c>
      <c r="BH78" s="68"/>
      <c r="BI78" s="68"/>
      <c r="BJ78" s="68"/>
      <c r="BK78" s="68"/>
      <c r="BL78" s="68"/>
      <c r="BM78" s="68"/>
      <c r="BN78" s="68">
        <v>1</v>
      </c>
      <c r="BO78" s="68"/>
      <c r="BP78" s="68"/>
      <c r="BQ78" s="68"/>
      <c r="BR78" s="68"/>
      <c r="BS78" s="68"/>
      <c r="BT78" s="68"/>
    </row>
    <row r="79" spans="1:72" s="69" customFormat="1" ht="25.5" x14ac:dyDescent="0.2">
      <c r="A79" s="65">
        <v>309</v>
      </c>
      <c r="B79" s="66" t="s">
        <v>75</v>
      </c>
      <c r="C79" s="67" t="s">
        <v>161</v>
      </c>
      <c r="D79" s="67" t="s">
        <v>259</v>
      </c>
      <c r="E79" s="66" t="s">
        <v>260</v>
      </c>
      <c r="F79" s="67" t="s">
        <v>259</v>
      </c>
      <c r="G79" s="66" t="s">
        <v>261</v>
      </c>
      <c r="H79" s="67" t="s">
        <v>279</v>
      </c>
      <c r="I79" s="65" t="s">
        <v>280</v>
      </c>
      <c r="J79" s="65" t="s">
        <v>281</v>
      </c>
      <c r="K79" s="65" t="s">
        <v>281</v>
      </c>
      <c r="L79" s="65" t="s">
        <v>280</v>
      </c>
      <c r="M79" s="68">
        <f t="shared" si="53"/>
        <v>18400</v>
      </c>
      <c r="N79" s="68">
        <v>18400</v>
      </c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>
        <v>1</v>
      </c>
      <c r="AH79" s="68"/>
      <c r="AI79" s="68"/>
      <c r="AJ79" s="68"/>
      <c r="AK79" s="68"/>
      <c r="AL79" s="68">
        <v>1</v>
      </c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>
        <v>1</v>
      </c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>
        <v>1</v>
      </c>
      <c r="BT79" s="68"/>
    </row>
    <row r="80" spans="1:72" s="69" customFormat="1" ht="25.5" x14ac:dyDescent="0.2">
      <c r="A80" s="65">
        <v>310</v>
      </c>
      <c r="B80" s="66" t="s">
        <v>75</v>
      </c>
      <c r="C80" s="67" t="s">
        <v>162</v>
      </c>
      <c r="D80" s="67" t="s">
        <v>259</v>
      </c>
      <c r="E80" s="66" t="s">
        <v>263</v>
      </c>
      <c r="F80" s="67"/>
      <c r="G80" s="66"/>
      <c r="H80" s="67" t="s">
        <v>279</v>
      </c>
      <c r="I80" s="65" t="s">
        <v>280</v>
      </c>
      <c r="J80" s="65" t="s">
        <v>281</v>
      </c>
      <c r="K80" s="65" t="s">
        <v>281</v>
      </c>
      <c r="L80" s="65" t="s">
        <v>281</v>
      </c>
      <c r="M80" s="68">
        <f t="shared" si="53"/>
        <v>300</v>
      </c>
      <c r="N80" s="68"/>
      <c r="O80" s="68"/>
      <c r="P80" s="68">
        <v>300</v>
      </c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>
        <v>1</v>
      </c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>
        <v>1</v>
      </c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>
        <v>1</v>
      </c>
    </row>
    <row r="81" spans="1:72" s="69" customFormat="1" ht="25.5" x14ac:dyDescent="0.2">
      <c r="A81" s="65">
        <v>312</v>
      </c>
      <c r="B81" s="66" t="s">
        <v>75</v>
      </c>
      <c r="C81" s="67" t="s">
        <v>163</v>
      </c>
      <c r="D81" s="67" t="s">
        <v>259</v>
      </c>
      <c r="E81" s="66" t="s">
        <v>260</v>
      </c>
      <c r="F81" s="67" t="s">
        <v>259</v>
      </c>
      <c r="G81" s="66" t="s">
        <v>262</v>
      </c>
      <c r="H81" s="67" t="s">
        <v>279</v>
      </c>
      <c r="I81" s="65" t="s">
        <v>280</v>
      </c>
      <c r="J81" s="65" t="s">
        <v>281</v>
      </c>
      <c r="K81" s="65" t="s">
        <v>281</v>
      </c>
      <c r="L81" s="65" t="s">
        <v>280</v>
      </c>
      <c r="M81" s="68">
        <f t="shared" si="53"/>
        <v>63230</v>
      </c>
      <c r="N81" s="68">
        <f>6195+9740+7500+909+20731+11073+7082</f>
        <v>63230</v>
      </c>
      <c r="O81" s="68"/>
      <c r="P81" s="68"/>
      <c r="Q81" s="68"/>
      <c r="R81" s="68"/>
      <c r="S81" s="68"/>
      <c r="T81" s="68"/>
      <c r="U81" s="68">
        <v>1</v>
      </c>
      <c r="V81" s="68">
        <v>1</v>
      </c>
      <c r="W81" s="68">
        <v>1</v>
      </c>
      <c r="X81" s="68">
        <v>1</v>
      </c>
      <c r="Y81" s="68"/>
      <c r="Z81" s="68">
        <v>1</v>
      </c>
      <c r="AA81" s="68"/>
      <c r="AB81" s="68"/>
      <c r="AC81" s="68"/>
      <c r="AD81" s="68"/>
      <c r="AE81" s="68"/>
      <c r="AF81" s="68">
        <v>1</v>
      </c>
      <c r="AG81" s="68">
        <v>1</v>
      </c>
      <c r="AH81" s="68">
        <v>1</v>
      </c>
      <c r="AI81" s="68"/>
      <c r="AJ81" s="68"/>
      <c r="AK81" s="68">
        <v>1</v>
      </c>
      <c r="AL81" s="68">
        <v>1</v>
      </c>
      <c r="AM81" s="68"/>
      <c r="AN81" s="68"/>
      <c r="AO81" s="68">
        <v>1</v>
      </c>
      <c r="AP81" s="68">
        <v>1</v>
      </c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>
        <v>1</v>
      </c>
      <c r="BI81" s="68"/>
      <c r="BJ81" s="68"/>
      <c r="BK81" s="68"/>
      <c r="BL81" s="68"/>
      <c r="BM81" s="68">
        <v>1</v>
      </c>
      <c r="BN81" s="68"/>
      <c r="BO81" s="68"/>
      <c r="BP81" s="68"/>
      <c r="BQ81" s="68"/>
      <c r="BR81" s="68"/>
      <c r="BS81" s="68"/>
      <c r="BT81" s="68">
        <v>1</v>
      </c>
    </row>
    <row r="82" spans="1:72" s="69" customFormat="1" ht="25.5" x14ac:dyDescent="0.2">
      <c r="A82" s="65">
        <v>314</v>
      </c>
      <c r="B82" s="66" t="s">
        <v>76</v>
      </c>
      <c r="C82" s="67" t="s">
        <v>164</v>
      </c>
      <c r="D82" s="67" t="s">
        <v>259</v>
      </c>
      <c r="E82" s="66" t="s">
        <v>260</v>
      </c>
      <c r="F82" s="67" t="s">
        <v>259</v>
      </c>
      <c r="G82" s="66" t="s">
        <v>262</v>
      </c>
      <c r="H82" s="67" t="s">
        <v>279</v>
      </c>
      <c r="I82" s="65" t="s">
        <v>280</v>
      </c>
      <c r="J82" s="65" t="s">
        <v>281</v>
      </c>
      <c r="K82" s="65" t="s">
        <v>281</v>
      </c>
      <c r="L82" s="65" t="s">
        <v>280</v>
      </c>
      <c r="M82" s="68">
        <f t="shared" si="53"/>
        <v>3568.78</v>
      </c>
      <c r="N82" s="68"/>
      <c r="O82" s="68"/>
      <c r="P82" s="68">
        <v>3568.78</v>
      </c>
      <c r="Q82" s="68"/>
      <c r="R82" s="68"/>
      <c r="S82" s="68"/>
      <c r="T82" s="68"/>
      <c r="U82" s="68"/>
      <c r="V82" s="68">
        <v>1</v>
      </c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>
        <v>1</v>
      </c>
      <c r="AH82" s="68"/>
      <c r="AI82" s="68"/>
      <c r="AJ82" s="68"/>
      <c r="AK82" s="68">
        <v>1</v>
      </c>
      <c r="AL82" s="68"/>
      <c r="AM82" s="68"/>
      <c r="AN82" s="68">
        <v>1</v>
      </c>
      <c r="AO82" s="68">
        <v>1</v>
      </c>
      <c r="AP82" s="68">
        <v>1</v>
      </c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>
        <v>1</v>
      </c>
      <c r="BC82" s="68"/>
      <c r="BD82" s="68"/>
      <c r="BE82" s="68"/>
      <c r="BF82" s="68"/>
      <c r="BG82" s="68"/>
      <c r="BH82" s="68"/>
      <c r="BI82" s="68"/>
      <c r="BJ82" s="68">
        <v>1</v>
      </c>
      <c r="BK82" s="68"/>
      <c r="BL82" s="68"/>
      <c r="BM82" s="68"/>
      <c r="BN82" s="68">
        <v>1</v>
      </c>
      <c r="BO82" s="68"/>
      <c r="BP82" s="68"/>
      <c r="BQ82" s="68"/>
      <c r="BR82" s="68"/>
      <c r="BS82" s="68"/>
      <c r="BT82" s="68"/>
    </row>
    <row r="83" spans="1:72" s="69" customFormat="1" ht="25.5" x14ac:dyDescent="0.2">
      <c r="A83" s="65">
        <v>315</v>
      </c>
      <c r="B83" s="66" t="s">
        <v>75</v>
      </c>
      <c r="C83" s="67" t="s">
        <v>165</v>
      </c>
      <c r="D83" s="67" t="s">
        <v>254</v>
      </c>
      <c r="E83" s="66" t="s">
        <v>255</v>
      </c>
      <c r="F83" s="67" t="s">
        <v>259</v>
      </c>
      <c r="G83" s="66" t="s">
        <v>262</v>
      </c>
      <c r="H83" s="67" t="s">
        <v>279</v>
      </c>
      <c r="I83" s="65" t="s">
        <v>280</v>
      </c>
      <c r="J83" s="65" t="s">
        <v>280</v>
      </c>
      <c r="K83" s="65" t="s">
        <v>281</v>
      </c>
      <c r="L83" s="65" t="s">
        <v>280</v>
      </c>
      <c r="M83" s="68">
        <f t="shared" si="53"/>
        <v>126039.14099999999</v>
      </c>
      <c r="N83" s="68">
        <f>2014.744+720.571+41.095+679.066+17737.489+3961.495+1209.528+2263.602+1253.345+4668.646+4793.897+2827.11+3449.087+3788.985+430+4053.128+1251.223+11961.008+11486.732+1592.763+1476.883+1801.481+523.114+728.894+2230+1455.881+1803.624+13557.041+8012.152+7796.828+1314.512+1980.275+1145.46+2029.482</f>
        <v>126039.14099999999</v>
      </c>
      <c r="O83" s="68"/>
      <c r="P83" s="68"/>
      <c r="Q83" s="68"/>
      <c r="R83" s="68"/>
      <c r="S83" s="68"/>
      <c r="T83" s="68"/>
      <c r="U83" s="68"/>
      <c r="V83" s="68">
        <v>1</v>
      </c>
      <c r="W83" s="68"/>
      <c r="X83" s="68"/>
      <c r="Y83" s="68"/>
      <c r="Z83" s="68">
        <v>1</v>
      </c>
      <c r="AA83" s="68">
        <v>1</v>
      </c>
      <c r="AB83" s="68"/>
      <c r="AC83" s="68"/>
      <c r="AD83" s="68"/>
      <c r="AE83" s="68"/>
      <c r="AF83" s="68">
        <v>1</v>
      </c>
      <c r="AG83" s="68">
        <v>1</v>
      </c>
      <c r="AH83" s="68"/>
      <c r="AI83" s="68">
        <v>1</v>
      </c>
      <c r="AJ83" s="68"/>
      <c r="AK83" s="68">
        <v>1</v>
      </c>
      <c r="AL83" s="68">
        <v>1</v>
      </c>
      <c r="AM83" s="68">
        <v>1</v>
      </c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>
        <v>1</v>
      </c>
      <c r="BH83" s="68">
        <v>1</v>
      </c>
      <c r="BI83" s="68"/>
      <c r="BJ83" s="68"/>
      <c r="BK83" s="68"/>
      <c r="BL83" s="68"/>
      <c r="BM83" s="68"/>
      <c r="BN83" s="68"/>
      <c r="BO83" s="68"/>
      <c r="BP83" s="68"/>
      <c r="BQ83" s="68"/>
      <c r="BR83" s="68">
        <v>1</v>
      </c>
      <c r="BS83" s="68"/>
      <c r="BT83" s="68"/>
    </row>
    <row r="84" spans="1:72" s="69" customFormat="1" ht="25.5" x14ac:dyDescent="0.2">
      <c r="A84" s="65">
        <v>316</v>
      </c>
      <c r="B84" s="66" t="s">
        <v>75</v>
      </c>
      <c r="C84" s="67" t="s">
        <v>166</v>
      </c>
      <c r="D84" s="67" t="s">
        <v>275</v>
      </c>
      <c r="E84" s="66" t="s">
        <v>276</v>
      </c>
      <c r="F84" s="67" t="s">
        <v>259</v>
      </c>
      <c r="G84" s="66" t="s">
        <v>262</v>
      </c>
      <c r="H84" s="67" t="s">
        <v>279</v>
      </c>
      <c r="I84" s="65" t="s">
        <v>280</v>
      </c>
      <c r="J84" s="65" t="s">
        <v>280</v>
      </c>
      <c r="K84" s="65" t="s">
        <v>281</v>
      </c>
      <c r="L84" s="65" t="s">
        <v>280</v>
      </c>
      <c r="M84" s="68">
        <f t="shared" si="53"/>
        <v>14968208</v>
      </c>
      <c r="N84" s="68">
        <f>81167+270075+192226+1274166+876903+29770+2029761+363621+15828+1209211+28028+73478+5746983+356563+572833+89973+4998+36200+330039+298409+217966+12703+417401</f>
        <v>14528302</v>
      </c>
      <c r="O84" s="68"/>
      <c r="P84" s="68">
        <f>20402+5498+48900</f>
        <v>74800</v>
      </c>
      <c r="Q84" s="68">
        <f>72929+292177</f>
        <v>365106</v>
      </c>
      <c r="R84" s="68"/>
      <c r="S84" s="68"/>
      <c r="T84" s="68"/>
      <c r="U84" s="68">
        <v>1</v>
      </c>
      <c r="V84" s="68"/>
      <c r="W84" s="68"/>
      <c r="X84" s="68"/>
      <c r="Y84" s="68"/>
      <c r="Z84" s="68">
        <v>1</v>
      </c>
      <c r="AA84" s="68">
        <v>1</v>
      </c>
      <c r="AB84" s="68"/>
      <c r="AC84" s="68"/>
      <c r="AD84" s="68"/>
      <c r="AE84" s="68">
        <v>1</v>
      </c>
      <c r="AF84" s="68"/>
      <c r="AG84" s="68">
        <v>1</v>
      </c>
      <c r="AH84" s="68">
        <v>1</v>
      </c>
      <c r="AI84" s="68">
        <v>1</v>
      </c>
      <c r="AJ84" s="68"/>
      <c r="AK84" s="68">
        <v>1</v>
      </c>
      <c r="AL84" s="68">
        <v>1</v>
      </c>
      <c r="AM84" s="68"/>
      <c r="AN84" s="68"/>
      <c r="AO84" s="68"/>
      <c r="AP84" s="68"/>
      <c r="AQ84" s="68"/>
      <c r="AR84" s="68"/>
      <c r="AS84" s="68"/>
      <c r="AT84" s="68"/>
      <c r="AU84" s="68">
        <v>1</v>
      </c>
      <c r="AV84" s="68"/>
      <c r="AW84" s="68"/>
      <c r="AX84" s="68"/>
      <c r="AY84" s="68">
        <v>1</v>
      </c>
      <c r="AZ84" s="68"/>
      <c r="BA84" s="68"/>
      <c r="BB84" s="68"/>
      <c r="BC84" s="68">
        <v>1</v>
      </c>
      <c r="BD84" s="68"/>
      <c r="BE84" s="68"/>
      <c r="BF84" s="68"/>
      <c r="BG84" s="68">
        <v>1</v>
      </c>
      <c r="BH84" s="68"/>
      <c r="BI84" s="68"/>
      <c r="BJ84" s="68">
        <v>1</v>
      </c>
      <c r="BK84" s="68"/>
      <c r="BL84" s="68"/>
      <c r="BM84" s="68"/>
      <c r="BN84" s="68"/>
      <c r="BO84" s="68"/>
      <c r="BP84" s="68"/>
      <c r="BQ84" s="68"/>
      <c r="BR84" s="68">
        <v>1</v>
      </c>
      <c r="BS84" s="68"/>
      <c r="BT84" s="68"/>
    </row>
    <row r="85" spans="1:72" s="69" customFormat="1" ht="25.5" x14ac:dyDescent="0.2">
      <c r="A85" s="65">
        <v>317</v>
      </c>
      <c r="B85" s="66" t="s">
        <v>75</v>
      </c>
      <c r="C85" s="67" t="s">
        <v>167</v>
      </c>
      <c r="D85" s="67" t="s">
        <v>256</v>
      </c>
      <c r="E85" s="66" t="s">
        <v>268</v>
      </c>
      <c r="F85" s="67"/>
      <c r="G85" s="66"/>
      <c r="H85" s="67" t="s">
        <v>279</v>
      </c>
      <c r="I85" s="65" t="s">
        <v>280</v>
      </c>
      <c r="J85" s="65" t="s">
        <v>281</v>
      </c>
      <c r="K85" s="65" t="s">
        <v>281</v>
      </c>
      <c r="L85" s="65" t="s">
        <v>281</v>
      </c>
      <c r="M85" s="68">
        <f t="shared" si="53"/>
        <v>16612</v>
      </c>
      <c r="N85" s="68"/>
      <c r="O85" s="68"/>
      <c r="P85" s="68"/>
      <c r="Q85" s="68"/>
      <c r="R85" s="68">
        <f>2249+13239+1124</f>
        <v>16612</v>
      </c>
      <c r="S85" s="68"/>
      <c r="T85" s="68"/>
      <c r="U85" s="68">
        <v>1</v>
      </c>
      <c r="V85" s="68">
        <v>1</v>
      </c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>
        <v>1</v>
      </c>
      <c r="AL85" s="68">
        <v>1</v>
      </c>
      <c r="AM85" s="68">
        <v>1</v>
      </c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>
        <v>1</v>
      </c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</row>
    <row r="86" spans="1:72" s="69" customFormat="1" ht="25.5" x14ac:dyDescent="0.2">
      <c r="A86" s="65">
        <v>319</v>
      </c>
      <c r="B86" s="66" t="s">
        <v>75</v>
      </c>
      <c r="C86" s="67" t="s">
        <v>168</v>
      </c>
      <c r="D86" s="67" t="s">
        <v>259</v>
      </c>
      <c r="E86" s="66" t="s">
        <v>260</v>
      </c>
      <c r="F86" s="67" t="s">
        <v>259</v>
      </c>
      <c r="G86" s="66" t="s">
        <v>262</v>
      </c>
      <c r="H86" s="67" t="s">
        <v>279</v>
      </c>
      <c r="I86" s="65" t="s">
        <v>280</v>
      </c>
      <c r="J86" s="65" t="s">
        <v>281</v>
      </c>
      <c r="K86" s="65" t="s">
        <v>281</v>
      </c>
      <c r="L86" s="65" t="s">
        <v>280</v>
      </c>
      <c r="M86" s="68">
        <f t="shared" si="53"/>
        <v>55370</v>
      </c>
      <c r="N86" s="68">
        <f>45770+9600</f>
        <v>55370</v>
      </c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>
        <v>1</v>
      </c>
      <c r="AK86" s="68">
        <v>1</v>
      </c>
      <c r="AL86" s="68">
        <v>1</v>
      </c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>
        <v>1</v>
      </c>
      <c r="BI86" s="68"/>
      <c r="BJ86" s="68"/>
      <c r="BK86" s="68"/>
      <c r="BL86" s="68">
        <v>1</v>
      </c>
      <c r="BM86" s="68">
        <v>1</v>
      </c>
      <c r="BN86" s="68"/>
      <c r="BO86" s="68"/>
      <c r="BP86" s="68"/>
      <c r="BQ86" s="68"/>
      <c r="BR86" s="68"/>
      <c r="BS86" s="68"/>
      <c r="BT86" s="68"/>
    </row>
    <row r="87" spans="1:72" s="69" customFormat="1" ht="25.5" x14ac:dyDescent="0.2">
      <c r="A87" s="65">
        <v>320</v>
      </c>
      <c r="B87" s="66" t="s">
        <v>81</v>
      </c>
      <c r="C87" s="67" t="s">
        <v>169</v>
      </c>
      <c r="D87" s="67" t="s">
        <v>256</v>
      </c>
      <c r="E87" s="66" t="s">
        <v>268</v>
      </c>
      <c r="F87" s="67"/>
      <c r="G87" s="66"/>
      <c r="H87" s="67" t="s">
        <v>279</v>
      </c>
      <c r="I87" s="65" t="s">
        <v>280</v>
      </c>
      <c r="J87" s="65" t="s">
        <v>280</v>
      </c>
      <c r="K87" s="65" t="s">
        <v>281</v>
      </c>
      <c r="L87" s="65" t="s">
        <v>281</v>
      </c>
      <c r="M87" s="68">
        <f t="shared" si="53"/>
        <v>18300991</v>
      </c>
      <c r="N87" s="68">
        <f>16616+62816+2335+312+1414969+242395+43993+51363+282969+7242+154729+375699+241+252034+48264+501687+122598+75130+169623+1217487+1621146+1096120+12350+17550+32009+941559</f>
        <v>8763236</v>
      </c>
      <c r="O87" s="68">
        <f>1439+1501+728+4614</f>
        <v>8282</v>
      </c>
      <c r="P87" s="68">
        <v>1281557</v>
      </c>
      <c r="Q87" s="68"/>
      <c r="R87" s="68">
        <f>615254+86475+262267+674933+594367+42854+364264+1215219+36138+286412+51520+176120+2000103+711827+224781+226639+322986+303791+12189+22195+17582</f>
        <v>8247916</v>
      </c>
      <c r="S87" s="68"/>
      <c r="T87" s="68"/>
      <c r="U87" s="68">
        <v>1</v>
      </c>
      <c r="V87" s="68">
        <v>1</v>
      </c>
      <c r="W87" s="68"/>
      <c r="X87" s="68"/>
      <c r="Y87" s="68"/>
      <c r="Z87" s="68">
        <v>1</v>
      </c>
      <c r="AA87" s="68">
        <v>1</v>
      </c>
      <c r="AB87" s="68">
        <v>1</v>
      </c>
      <c r="AC87" s="68">
        <v>1</v>
      </c>
      <c r="AD87" s="68"/>
      <c r="AE87" s="68">
        <v>1</v>
      </c>
      <c r="AF87" s="68">
        <v>1</v>
      </c>
      <c r="AG87" s="68">
        <v>1</v>
      </c>
      <c r="AH87" s="68">
        <v>1</v>
      </c>
      <c r="AI87" s="68">
        <v>1</v>
      </c>
      <c r="AJ87" s="68"/>
      <c r="AK87" s="68"/>
      <c r="AL87" s="68">
        <v>1</v>
      </c>
      <c r="AM87" s="68">
        <v>1</v>
      </c>
      <c r="AN87" s="68">
        <v>1</v>
      </c>
      <c r="AO87" s="68">
        <v>1</v>
      </c>
      <c r="AP87" s="68">
        <v>1</v>
      </c>
      <c r="AQ87" s="68"/>
      <c r="AR87" s="68">
        <v>1</v>
      </c>
      <c r="AS87" s="68"/>
      <c r="AT87" s="68"/>
      <c r="AU87" s="68">
        <v>1</v>
      </c>
      <c r="AV87" s="68">
        <v>1</v>
      </c>
      <c r="AW87" s="68"/>
      <c r="AX87" s="68">
        <v>1</v>
      </c>
      <c r="AY87" s="68"/>
      <c r="AZ87" s="68"/>
      <c r="BA87" s="68"/>
      <c r="BB87" s="68"/>
      <c r="BC87" s="68">
        <v>1</v>
      </c>
      <c r="BD87" s="68"/>
      <c r="BE87" s="68">
        <v>1</v>
      </c>
      <c r="BF87" s="68">
        <v>1</v>
      </c>
      <c r="BG87" s="68"/>
      <c r="BH87" s="68"/>
      <c r="BI87" s="68"/>
      <c r="BJ87" s="68"/>
      <c r="BK87" s="68"/>
      <c r="BL87" s="68"/>
      <c r="BM87" s="68"/>
      <c r="BN87" s="68"/>
      <c r="BO87" s="68"/>
      <c r="BP87" s="68">
        <v>1</v>
      </c>
      <c r="BQ87" s="68"/>
      <c r="BR87" s="68">
        <v>1</v>
      </c>
      <c r="BS87" s="68"/>
      <c r="BT87" s="68">
        <v>1</v>
      </c>
    </row>
    <row r="88" spans="1:72" s="69" customFormat="1" ht="25.5" x14ac:dyDescent="0.2">
      <c r="A88" s="65">
        <v>322</v>
      </c>
      <c r="B88" s="66" t="s">
        <v>75</v>
      </c>
      <c r="C88" s="67" t="s">
        <v>170</v>
      </c>
      <c r="D88" s="67" t="s">
        <v>259</v>
      </c>
      <c r="E88" s="66" t="s">
        <v>260</v>
      </c>
      <c r="F88" s="67" t="s">
        <v>259</v>
      </c>
      <c r="G88" s="66" t="s">
        <v>262</v>
      </c>
      <c r="H88" s="67" t="s">
        <v>279</v>
      </c>
      <c r="I88" s="65" t="s">
        <v>280</v>
      </c>
      <c r="J88" s="65" t="s">
        <v>281</v>
      </c>
      <c r="K88" s="65" t="s">
        <v>281</v>
      </c>
      <c r="L88" s="65" t="s">
        <v>280</v>
      </c>
      <c r="M88" s="68">
        <f t="shared" si="53"/>
        <v>1345.8649999999998</v>
      </c>
      <c r="N88" s="68">
        <f>16.251+168.117+248.37+211.621+34.348+273.102+114.81+3.48+123.473+152.293</f>
        <v>1345.8649999999998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>
        <v>1</v>
      </c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>
        <v>1</v>
      </c>
      <c r="BI88" s="68"/>
      <c r="BJ88" s="68"/>
      <c r="BK88" s="68"/>
      <c r="BL88" s="68"/>
      <c r="BM88" s="68"/>
      <c r="BN88" s="68">
        <v>1</v>
      </c>
      <c r="BO88" s="68"/>
      <c r="BP88" s="68"/>
      <c r="BQ88" s="68"/>
      <c r="BR88" s="68"/>
      <c r="BS88" s="68"/>
      <c r="BT88" s="68"/>
    </row>
    <row r="89" spans="1:72" s="69" customFormat="1" ht="25.5" x14ac:dyDescent="0.2">
      <c r="A89" s="65">
        <v>323</v>
      </c>
      <c r="B89" s="66" t="s">
        <v>79</v>
      </c>
      <c r="C89" s="67" t="s">
        <v>171</v>
      </c>
      <c r="D89" s="67" t="s">
        <v>259</v>
      </c>
      <c r="E89" s="66" t="s">
        <v>263</v>
      </c>
      <c r="F89" s="67" t="s">
        <v>259</v>
      </c>
      <c r="G89" s="66" t="s">
        <v>262</v>
      </c>
      <c r="H89" s="67" t="s">
        <v>279</v>
      </c>
      <c r="I89" s="65" t="s">
        <v>280</v>
      </c>
      <c r="J89" s="65" t="s">
        <v>281</v>
      </c>
      <c r="K89" s="65" t="s">
        <v>281</v>
      </c>
      <c r="L89" s="65" t="s">
        <v>280</v>
      </c>
      <c r="M89" s="68">
        <f t="shared" si="53"/>
        <v>121666.87699999999</v>
      </c>
      <c r="N89" s="68"/>
      <c r="O89" s="68"/>
      <c r="P89" s="68">
        <f>3049.918+3932.014+79996.144+9384.64+6690.931+6385.42+12227.81</f>
        <v>121666.87699999999</v>
      </c>
      <c r="Q89" s="68"/>
      <c r="R89" s="68"/>
      <c r="S89" s="68"/>
      <c r="T89" s="68"/>
      <c r="U89" s="68">
        <v>1</v>
      </c>
      <c r="V89" s="68">
        <v>1</v>
      </c>
      <c r="W89" s="68"/>
      <c r="X89" s="68"/>
      <c r="Y89" s="68"/>
      <c r="Z89" s="68">
        <v>1</v>
      </c>
      <c r="AA89" s="68">
        <v>1</v>
      </c>
      <c r="AB89" s="68">
        <v>1</v>
      </c>
      <c r="AC89" s="68">
        <v>1</v>
      </c>
      <c r="AD89" s="68">
        <v>1</v>
      </c>
      <c r="AE89" s="68">
        <v>1</v>
      </c>
      <c r="AF89" s="68">
        <v>1</v>
      </c>
      <c r="AG89" s="68">
        <v>1</v>
      </c>
      <c r="AH89" s="68">
        <v>1</v>
      </c>
      <c r="AI89" s="68">
        <v>1</v>
      </c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>
        <v>1</v>
      </c>
      <c r="BC89" s="68">
        <v>1</v>
      </c>
      <c r="BD89" s="68"/>
      <c r="BE89" s="68">
        <v>1</v>
      </c>
      <c r="BF89" s="68"/>
      <c r="BG89" s="68">
        <v>1</v>
      </c>
      <c r="BH89" s="68"/>
      <c r="BI89" s="68"/>
      <c r="BJ89" s="68"/>
      <c r="BK89" s="68"/>
      <c r="BL89" s="68"/>
      <c r="BM89" s="68">
        <v>1</v>
      </c>
      <c r="BN89" s="68"/>
      <c r="BO89" s="68"/>
      <c r="BP89" s="68"/>
      <c r="BQ89" s="68"/>
      <c r="BR89" s="68"/>
      <c r="BS89" s="68"/>
      <c r="BT89" s="68"/>
    </row>
    <row r="90" spans="1:72" s="69" customFormat="1" ht="25.5" x14ac:dyDescent="0.2">
      <c r="A90" s="65">
        <v>324</v>
      </c>
      <c r="B90" s="66" t="s">
        <v>75</v>
      </c>
      <c r="C90" s="67" t="s">
        <v>172</v>
      </c>
      <c r="D90" s="67" t="s">
        <v>259</v>
      </c>
      <c r="E90" s="66" t="s">
        <v>260</v>
      </c>
      <c r="F90" s="67" t="s">
        <v>259</v>
      </c>
      <c r="G90" s="66" t="s">
        <v>262</v>
      </c>
      <c r="H90" s="67" t="s">
        <v>279</v>
      </c>
      <c r="I90" s="65" t="s">
        <v>280</v>
      </c>
      <c r="J90" s="65" t="s">
        <v>281</v>
      </c>
      <c r="K90" s="65" t="s">
        <v>281</v>
      </c>
      <c r="L90" s="65" t="s">
        <v>280</v>
      </c>
      <c r="M90" s="68">
        <f t="shared" si="53"/>
        <v>35613.349690000003</v>
      </c>
      <c r="N90" s="68">
        <f>2782.82055+204.9166+5222.30472+5151.2894+5150.31176+5163.85223+490.575+31.44755</f>
        <v>24197.517810000001</v>
      </c>
      <c r="O90" s="68"/>
      <c r="P90" s="68">
        <f>3047.635+1936.47888+1361.49+1490.198+1144.03+2436</f>
        <v>11415.83188</v>
      </c>
      <c r="Q90" s="68"/>
      <c r="R90" s="68"/>
      <c r="S90" s="68"/>
      <c r="T90" s="68"/>
      <c r="U90" s="68"/>
      <c r="V90" s="68">
        <v>1</v>
      </c>
      <c r="W90" s="68"/>
      <c r="X90" s="68"/>
      <c r="Y90" s="68"/>
      <c r="Z90" s="68">
        <v>1</v>
      </c>
      <c r="AA90" s="68">
        <v>1</v>
      </c>
      <c r="AB90" s="68">
        <v>1</v>
      </c>
      <c r="AC90" s="68">
        <v>1</v>
      </c>
      <c r="AD90" s="68">
        <v>1</v>
      </c>
      <c r="AE90" s="68">
        <v>1</v>
      </c>
      <c r="AF90" s="68">
        <v>1</v>
      </c>
      <c r="AG90" s="68">
        <v>1</v>
      </c>
      <c r="AH90" s="68">
        <v>1</v>
      </c>
      <c r="AI90" s="68"/>
      <c r="AJ90" s="68">
        <v>1</v>
      </c>
      <c r="AK90" s="68">
        <v>1</v>
      </c>
      <c r="AL90" s="68">
        <v>1</v>
      </c>
      <c r="AM90" s="68"/>
      <c r="AN90" s="68">
        <v>1</v>
      </c>
      <c r="AO90" s="68">
        <v>1</v>
      </c>
      <c r="AP90" s="68">
        <v>1</v>
      </c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>
        <v>1</v>
      </c>
      <c r="BF90" s="68"/>
      <c r="BG90" s="68">
        <v>1</v>
      </c>
      <c r="BH90" s="68">
        <v>1</v>
      </c>
      <c r="BI90" s="68"/>
      <c r="BJ90" s="68">
        <v>1</v>
      </c>
      <c r="BK90" s="68"/>
      <c r="BL90" s="68">
        <v>1</v>
      </c>
      <c r="BM90" s="68">
        <v>1</v>
      </c>
      <c r="BN90" s="68">
        <v>1</v>
      </c>
      <c r="BO90" s="68"/>
      <c r="BP90" s="68"/>
      <c r="BQ90" s="68"/>
      <c r="BR90" s="68">
        <v>1</v>
      </c>
      <c r="BS90" s="68">
        <v>1</v>
      </c>
      <c r="BT90" s="68"/>
    </row>
    <row r="91" spans="1:72" s="69" customFormat="1" ht="25.5" x14ac:dyDescent="0.2">
      <c r="A91" s="65">
        <v>325</v>
      </c>
      <c r="B91" s="66" t="s">
        <v>75</v>
      </c>
      <c r="C91" s="67" t="s">
        <v>173</v>
      </c>
      <c r="D91" s="67" t="s">
        <v>259</v>
      </c>
      <c r="E91" s="66" t="s">
        <v>260</v>
      </c>
      <c r="F91" s="67" t="s">
        <v>259</v>
      </c>
      <c r="G91" s="66" t="s">
        <v>262</v>
      </c>
      <c r="H91" s="67" t="s">
        <v>279</v>
      </c>
      <c r="I91" s="65" t="s">
        <v>280</v>
      </c>
      <c r="J91" s="65" t="s">
        <v>281</v>
      </c>
      <c r="K91" s="65" t="s">
        <v>281</v>
      </c>
      <c r="L91" s="65" t="s">
        <v>280</v>
      </c>
      <c r="M91" s="68">
        <f t="shared" si="53"/>
        <v>4307</v>
      </c>
      <c r="N91" s="68"/>
      <c r="O91" s="68"/>
      <c r="P91" s="68">
        <v>4307</v>
      </c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>
        <v>1</v>
      </c>
      <c r="AK91" s="68">
        <v>1</v>
      </c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>
        <v>1</v>
      </c>
      <c r="BI91" s="68"/>
      <c r="BJ91" s="68"/>
      <c r="BK91" s="68"/>
      <c r="BL91" s="68">
        <v>1</v>
      </c>
      <c r="BM91" s="68"/>
      <c r="BN91" s="68"/>
      <c r="BO91" s="68"/>
      <c r="BP91" s="68"/>
      <c r="BQ91" s="68"/>
      <c r="BR91" s="68"/>
      <c r="BS91" s="68"/>
      <c r="BT91" s="68"/>
    </row>
    <row r="92" spans="1:72" s="69" customFormat="1" ht="25.5" x14ac:dyDescent="0.2">
      <c r="A92" s="65">
        <v>329</v>
      </c>
      <c r="B92" s="66" t="s">
        <v>75</v>
      </c>
      <c r="C92" s="67" t="s">
        <v>174</v>
      </c>
      <c r="D92" s="67" t="s">
        <v>259</v>
      </c>
      <c r="E92" s="66" t="s">
        <v>260</v>
      </c>
      <c r="F92" s="67" t="s">
        <v>259</v>
      </c>
      <c r="G92" s="66" t="s">
        <v>262</v>
      </c>
      <c r="H92" s="67" t="s">
        <v>279</v>
      </c>
      <c r="I92" s="65" t="s">
        <v>280</v>
      </c>
      <c r="J92" s="65" t="s">
        <v>281</v>
      </c>
      <c r="K92" s="65" t="s">
        <v>281</v>
      </c>
      <c r="L92" s="65" t="s">
        <v>280</v>
      </c>
      <c r="M92" s="68">
        <f t="shared" si="53"/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>
        <v>1</v>
      </c>
      <c r="BH92" s="68">
        <v>1</v>
      </c>
      <c r="BI92" s="68"/>
      <c r="BJ92" s="68"/>
      <c r="BK92" s="68"/>
      <c r="BL92" s="68">
        <v>1</v>
      </c>
      <c r="BM92" s="68"/>
      <c r="BN92" s="68">
        <v>1</v>
      </c>
      <c r="BO92" s="68"/>
      <c r="BP92" s="68"/>
      <c r="BQ92" s="68"/>
      <c r="BR92" s="68">
        <v>1</v>
      </c>
      <c r="BS92" s="68">
        <v>1</v>
      </c>
      <c r="BT92" s="68"/>
    </row>
    <row r="93" spans="1:72" s="69" customFormat="1" ht="25.5" x14ac:dyDescent="0.2">
      <c r="A93" s="65">
        <v>333</v>
      </c>
      <c r="B93" s="66" t="s">
        <v>75</v>
      </c>
      <c r="C93" s="67" t="s">
        <v>175</v>
      </c>
      <c r="D93" s="67" t="s">
        <v>256</v>
      </c>
      <c r="E93" s="66" t="s">
        <v>268</v>
      </c>
      <c r="F93" s="67"/>
      <c r="G93" s="66"/>
      <c r="H93" s="67" t="s">
        <v>279</v>
      </c>
      <c r="I93" s="65" t="s">
        <v>280</v>
      </c>
      <c r="J93" s="65" t="s">
        <v>280</v>
      </c>
      <c r="K93" s="65" t="s">
        <v>281</v>
      </c>
      <c r="L93" s="65" t="s">
        <v>281</v>
      </c>
      <c r="M93" s="68">
        <f t="shared" si="53"/>
        <v>974238.74600000016</v>
      </c>
      <c r="N93" s="68">
        <f>202417.763+8562.25</f>
        <v>210980.01300000001</v>
      </c>
      <c r="O93" s="68">
        <f>615968.358+102232.599+171.822+5919.518+20312.388</f>
        <v>744604.68500000017</v>
      </c>
      <c r="P93" s="68">
        <f>11026.333+7627.715</f>
        <v>18654.048000000003</v>
      </c>
      <c r="Q93" s="68"/>
      <c r="R93" s="68"/>
      <c r="S93" s="68"/>
      <c r="T93" s="68"/>
      <c r="U93" s="68">
        <v>1</v>
      </c>
      <c r="V93" s="68">
        <v>1</v>
      </c>
      <c r="W93" s="68"/>
      <c r="X93" s="68"/>
      <c r="Y93" s="68">
        <v>1</v>
      </c>
      <c r="Z93" s="68">
        <v>1</v>
      </c>
      <c r="AA93" s="68">
        <v>1</v>
      </c>
      <c r="AB93" s="68"/>
      <c r="AC93" s="68">
        <v>1</v>
      </c>
      <c r="AD93" s="68"/>
      <c r="AE93" s="68"/>
      <c r="AF93" s="68"/>
      <c r="AG93" s="68">
        <v>1</v>
      </c>
      <c r="AH93" s="68"/>
      <c r="AI93" s="68"/>
      <c r="AJ93" s="68"/>
      <c r="AK93" s="68">
        <v>1</v>
      </c>
      <c r="AL93" s="68">
        <v>1</v>
      </c>
      <c r="AM93" s="68"/>
      <c r="AN93" s="68">
        <v>1</v>
      </c>
      <c r="AO93" s="68"/>
      <c r="AP93" s="68"/>
      <c r="AQ93" s="68"/>
      <c r="AR93" s="68"/>
      <c r="AS93" s="68"/>
      <c r="AT93" s="68"/>
      <c r="AU93" s="68">
        <v>1</v>
      </c>
      <c r="AV93" s="68"/>
      <c r="AW93" s="68"/>
      <c r="AX93" s="68"/>
      <c r="AY93" s="68"/>
      <c r="AZ93" s="68"/>
      <c r="BA93" s="68"/>
      <c r="BB93" s="68"/>
      <c r="BC93" s="68">
        <v>1</v>
      </c>
      <c r="BD93" s="68"/>
      <c r="BE93" s="68"/>
      <c r="BF93" s="68"/>
      <c r="BG93" s="68">
        <v>1</v>
      </c>
      <c r="BH93" s="68">
        <v>1</v>
      </c>
      <c r="BI93" s="68"/>
      <c r="BJ93" s="68"/>
      <c r="BK93" s="68"/>
      <c r="BL93" s="68"/>
      <c r="BM93" s="68"/>
      <c r="BN93" s="68"/>
      <c r="BO93" s="68"/>
      <c r="BP93" s="68"/>
      <c r="BQ93" s="68"/>
      <c r="BR93" s="68">
        <v>1</v>
      </c>
      <c r="BS93" s="68"/>
      <c r="BT93" s="68"/>
    </row>
    <row r="94" spans="1:72" s="69" customFormat="1" ht="25.5" x14ac:dyDescent="0.2">
      <c r="A94" s="65">
        <v>335</v>
      </c>
      <c r="B94" s="66" t="s">
        <v>75</v>
      </c>
      <c r="C94" s="67" t="s">
        <v>176</v>
      </c>
      <c r="D94" s="67" t="s">
        <v>254</v>
      </c>
      <c r="E94" s="66" t="s">
        <v>255</v>
      </c>
      <c r="F94" s="67" t="s">
        <v>259</v>
      </c>
      <c r="G94" s="66" t="s">
        <v>262</v>
      </c>
      <c r="H94" s="67" t="s">
        <v>279</v>
      </c>
      <c r="I94" s="65" t="s">
        <v>280</v>
      </c>
      <c r="J94" s="65" t="s">
        <v>280</v>
      </c>
      <c r="K94" s="65" t="s">
        <v>281</v>
      </c>
      <c r="L94" s="65" t="s">
        <v>280</v>
      </c>
      <c r="M94" s="68">
        <f t="shared" si="53"/>
        <v>7121.5883999999996</v>
      </c>
      <c r="N94" s="68"/>
      <c r="O94" s="68"/>
      <c r="P94" s="68">
        <v>7121.5883999999996</v>
      </c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>
        <v>1</v>
      </c>
      <c r="BB94" s="68"/>
      <c r="BC94" s="68"/>
      <c r="BD94" s="68"/>
      <c r="BE94" s="68"/>
      <c r="BF94" s="68"/>
      <c r="BG94" s="68"/>
      <c r="BH94" s="68">
        <v>1</v>
      </c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>
        <v>1</v>
      </c>
    </row>
    <row r="95" spans="1:72" s="69" customFormat="1" ht="25.5" x14ac:dyDescent="0.2">
      <c r="A95" s="65">
        <v>337</v>
      </c>
      <c r="B95" s="66" t="s">
        <v>75</v>
      </c>
      <c r="C95" s="67" t="s">
        <v>177</v>
      </c>
      <c r="D95" s="67" t="s">
        <v>259</v>
      </c>
      <c r="E95" s="66" t="s">
        <v>260</v>
      </c>
      <c r="F95" s="67" t="s">
        <v>259</v>
      </c>
      <c r="G95" s="66" t="s">
        <v>262</v>
      </c>
      <c r="H95" s="67" t="s">
        <v>279</v>
      </c>
      <c r="I95" s="65" t="s">
        <v>280</v>
      </c>
      <c r="J95" s="65" t="s">
        <v>281</v>
      </c>
      <c r="K95" s="65" t="s">
        <v>281</v>
      </c>
      <c r="L95" s="65" t="s">
        <v>280</v>
      </c>
      <c r="M95" s="68">
        <f t="shared" si="53"/>
        <v>77966</v>
      </c>
      <c r="N95" s="68">
        <f>22962+17872+37132</f>
        <v>77966</v>
      </c>
      <c r="O95" s="68"/>
      <c r="P95" s="68"/>
      <c r="Q95" s="68"/>
      <c r="R95" s="68"/>
      <c r="S95" s="68"/>
      <c r="T95" s="68"/>
      <c r="U95" s="68">
        <v>1</v>
      </c>
      <c r="V95" s="68">
        <v>1</v>
      </c>
      <c r="W95" s="68"/>
      <c r="X95" s="68"/>
      <c r="Y95" s="68"/>
      <c r="Z95" s="68">
        <v>1</v>
      </c>
      <c r="AA95" s="68">
        <v>1</v>
      </c>
      <c r="AB95" s="68">
        <v>1</v>
      </c>
      <c r="AC95" s="68">
        <v>1</v>
      </c>
      <c r="AD95" s="68">
        <v>1</v>
      </c>
      <c r="AE95" s="68">
        <v>1</v>
      </c>
      <c r="AF95" s="68">
        <v>1</v>
      </c>
      <c r="AG95" s="68">
        <v>1</v>
      </c>
      <c r="AH95" s="68">
        <v>1</v>
      </c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>
        <v>1</v>
      </c>
      <c r="BC95" s="68"/>
      <c r="BD95" s="68"/>
      <c r="BE95" s="68">
        <v>1</v>
      </c>
      <c r="BF95" s="68"/>
      <c r="BG95" s="68"/>
      <c r="BH95" s="68"/>
      <c r="BI95" s="68"/>
      <c r="BJ95" s="68">
        <v>1</v>
      </c>
      <c r="BK95" s="68"/>
      <c r="BL95" s="68"/>
      <c r="BM95" s="68">
        <v>1</v>
      </c>
      <c r="BN95" s="68"/>
      <c r="BO95" s="68"/>
      <c r="BP95" s="68"/>
      <c r="BQ95" s="68"/>
      <c r="BR95" s="68">
        <v>1</v>
      </c>
      <c r="BS95" s="68"/>
      <c r="BT95" s="68"/>
    </row>
    <row r="96" spans="1:72" s="69" customFormat="1" ht="25.5" x14ac:dyDescent="0.2">
      <c r="A96" s="65">
        <v>338</v>
      </c>
      <c r="B96" s="66" t="s">
        <v>75</v>
      </c>
      <c r="C96" s="67" t="s">
        <v>178</v>
      </c>
      <c r="D96" s="67" t="s">
        <v>254</v>
      </c>
      <c r="E96" s="66" t="s">
        <v>255</v>
      </c>
      <c r="F96" s="67"/>
      <c r="G96" s="66"/>
      <c r="H96" s="67" t="s">
        <v>279</v>
      </c>
      <c r="I96" s="65" t="s">
        <v>280</v>
      </c>
      <c r="J96" s="65" t="s">
        <v>281</v>
      </c>
      <c r="K96" s="65" t="s">
        <v>281</v>
      </c>
      <c r="L96" s="65" t="s">
        <v>281</v>
      </c>
      <c r="M96" s="68">
        <f t="shared" si="53"/>
        <v>0</v>
      </c>
      <c r="N96" s="68">
        <v>0</v>
      </c>
      <c r="O96" s="68">
        <v>0</v>
      </c>
      <c r="P96" s="68">
        <v>0</v>
      </c>
      <c r="Q96" s="68">
        <v>0</v>
      </c>
      <c r="R96" s="68">
        <v>0</v>
      </c>
      <c r="S96" s="68">
        <v>0</v>
      </c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>
        <v>1</v>
      </c>
      <c r="BH96" s="68">
        <v>1</v>
      </c>
      <c r="BI96" s="68"/>
      <c r="BJ96" s="68"/>
      <c r="BK96" s="68"/>
      <c r="BL96" s="68"/>
      <c r="BM96" s="68"/>
      <c r="BN96" s="68"/>
      <c r="BO96" s="68"/>
      <c r="BP96" s="68"/>
      <c r="BQ96" s="68"/>
      <c r="BR96" s="68">
        <v>1</v>
      </c>
      <c r="BS96" s="68"/>
      <c r="BT96" s="68"/>
    </row>
    <row r="97" spans="1:72" ht="25.5" x14ac:dyDescent="0.2">
      <c r="A97" s="61">
        <v>339</v>
      </c>
      <c r="B97" s="62" t="s">
        <v>75</v>
      </c>
      <c r="C97" s="63" t="s">
        <v>179</v>
      </c>
      <c r="D97" s="63" t="s">
        <v>259</v>
      </c>
      <c r="E97" s="62" t="s">
        <v>260</v>
      </c>
      <c r="F97" s="63" t="s">
        <v>259</v>
      </c>
      <c r="G97" s="62" t="s">
        <v>262</v>
      </c>
      <c r="H97" s="63" t="s">
        <v>279</v>
      </c>
      <c r="I97" s="61" t="s">
        <v>280</v>
      </c>
      <c r="J97" s="61" t="s">
        <v>280</v>
      </c>
      <c r="K97" s="61" t="s">
        <v>281</v>
      </c>
      <c r="L97" s="61" t="s">
        <v>280</v>
      </c>
      <c r="M97" s="64">
        <f t="shared" si="53"/>
        <v>0</v>
      </c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</row>
    <row r="98" spans="1:72" s="69" customFormat="1" ht="25.5" x14ac:dyDescent="0.2">
      <c r="A98" s="65">
        <v>342</v>
      </c>
      <c r="B98" s="66" t="s">
        <v>79</v>
      </c>
      <c r="C98" s="67" t="s">
        <v>180</v>
      </c>
      <c r="D98" s="67" t="s">
        <v>259</v>
      </c>
      <c r="E98" s="66" t="s">
        <v>260</v>
      </c>
      <c r="F98" s="67" t="s">
        <v>259</v>
      </c>
      <c r="G98" s="66" t="s">
        <v>262</v>
      </c>
      <c r="H98" s="67" t="s">
        <v>279</v>
      </c>
      <c r="I98" s="65" t="s">
        <v>280</v>
      </c>
      <c r="J98" s="65" t="s">
        <v>280</v>
      </c>
      <c r="K98" s="65" t="s">
        <v>281</v>
      </c>
      <c r="L98" s="65" t="s">
        <v>280</v>
      </c>
      <c r="M98" s="68">
        <f t="shared" si="53"/>
        <v>57964.884000000005</v>
      </c>
      <c r="N98" s="68"/>
      <c r="O98" s="68"/>
      <c r="P98" s="68">
        <f>13936.56+2881.386+9487.129+2540.926+3420.962+3668.807+19575.363+2453.751</f>
        <v>57964.884000000005</v>
      </c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>
        <v>1</v>
      </c>
      <c r="AH98" s="68"/>
      <c r="AI98" s="68"/>
      <c r="AJ98" s="68"/>
      <c r="AK98" s="68"/>
      <c r="AL98" s="68"/>
      <c r="AM98" s="68">
        <v>1</v>
      </c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>
        <v>1</v>
      </c>
      <c r="BI98" s="68"/>
      <c r="BJ98" s="68">
        <v>1</v>
      </c>
      <c r="BK98" s="68"/>
      <c r="BL98" s="68"/>
      <c r="BM98" s="68"/>
      <c r="BN98" s="68"/>
      <c r="BO98" s="68"/>
      <c r="BP98" s="68"/>
      <c r="BQ98" s="68"/>
      <c r="BR98" s="68">
        <v>1</v>
      </c>
      <c r="BS98" s="68"/>
      <c r="BT98" s="68"/>
    </row>
    <row r="99" spans="1:72" s="69" customFormat="1" ht="25.5" x14ac:dyDescent="0.2">
      <c r="A99" s="65">
        <v>343</v>
      </c>
      <c r="B99" s="66" t="s">
        <v>75</v>
      </c>
      <c r="C99" s="67" t="s">
        <v>181</v>
      </c>
      <c r="D99" s="67" t="s">
        <v>259</v>
      </c>
      <c r="E99" s="66" t="s">
        <v>260</v>
      </c>
      <c r="F99" s="67" t="s">
        <v>254</v>
      </c>
      <c r="G99" s="66" t="s">
        <v>258</v>
      </c>
      <c r="H99" s="67" t="s">
        <v>279</v>
      </c>
      <c r="I99" s="65" t="s">
        <v>280</v>
      </c>
      <c r="J99" s="65" t="s">
        <v>281</v>
      </c>
      <c r="K99" s="65" t="s">
        <v>281</v>
      </c>
      <c r="L99" s="65" t="s">
        <v>280</v>
      </c>
      <c r="M99" s="68">
        <f t="shared" si="53"/>
        <v>14422.720370000001</v>
      </c>
      <c r="N99" s="68">
        <f>3112.844+5015.6785+5857.12037+165.6+271.4775</f>
        <v>14422.720370000001</v>
      </c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>
        <v>1</v>
      </c>
      <c r="AD99" s="68"/>
      <c r="AE99" s="68">
        <v>1</v>
      </c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>
        <v>1</v>
      </c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>
        <v>1</v>
      </c>
      <c r="BT99" s="68"/>
    </row>
    <row r="100" spans="1:72" s="69" customFormat="1" ht="25.5" x14ac:dyDescent="0.2">
      <c r="A100" s="65">
        <v>344</v>
      </c>
      <c r="B100" s="66" t="s">
        <v>79</v>
      </c>
      <c r="C100" s="67" t="s">
        <v>182</v>
      </c>
      <c r="D100" s="67" t="s">
        <v>259</v>
      </c>
      <c r="E100" s="66" t="s">
        <v>260</v>
      </c>
      <c r="F100" s="67"/>
      <c r="G100" s="66"/>
      <c r="H100" s="67" t="s">
        <v>279</v>
      </c>
      <c r="I100" s="65" t="s">
        <v>280</v>
      </c>
      <c r="J100" s="65" t="s">
        <v>280</v>
      </c>
      <c r="K100" s="65" t="s">
        <v>281</v>
      </c>
      <c r="L100" s="65" t="s">
        <v>281</v>
      </c>
      <c r="M100" s="68">
        <f t="shared" si="53"/>
        <v>58343.040999999997</v>
      </c>
      <c r="N100" s="68"/>
      <c r="O100" s="68"/>
      <c r="P100" s="68"/>
      <c r="Q100" s="68"/>
      <c r="R100" s="68">
        <f>31582.075+2302.5+3000+21458.466</f>
        <v>58343.040999999997</v>
      </c>
      <c r="S100" s="68"/>
      <c r="T100" s="68"/>
      <c r="U100" s="68">
        <v>1</v>
      </c>
      <c r="V100" s="68">
        <v>1</v>
      </c>
      <c r="W100" s="68">
        <v>1</v>
      </c>
      <c r="X100" s="68"/>
      <c r="Y100" s="68"/>
      <c r="Z100" s="68">
        <v>1</v>
      </c>
      <c r="AA100" s="68"/>
      <c r="AB100" s="68">
        <v>1</v>
      </c>
      <c r="AC100" s="68">
        <v>1</v>
      </c>
      <c r="AD100" s="68">
        <v>1</v>
      </c>
      <c r="AE100" s="68">
        <v>1</v>
      </c>
      <c r="AF100" s="68">
        <v>1</v>
      </c>
      <c r="AG100" s="68">
        <v>1</v>
      </c>
      <c r="AH100" s="68">
        <v>1</v>
      </c>
      <c r="AI100" s="68"/>
      <c r="AJ100" s="68"/>
      <c r="AK100" s="68">
        <v>1</v>
      </c>
      <c r="AL100" s="68">
        <v>1</v>
      </c>
      <c r="AM100" s="68">
        <v>1</v>
      </c>
      <c r="AN100" s="68"/>
      <c r="AO100" s="68"/>
      <c r="AP100" s="68"/>
      <c r="AQ100" s="68"/>
      <c r="AR100" s="68">
        <v>1</v>
      </c>
      <c r="AS100" s="68">
        <v>1</v>
      </c>
      <c r="AT100" s="68"/>
      <c r="AU100" s="68">
        <v>1</v>
      </c>
      <c r="AV100" s="68"/>
      <c r="AW100" s="68"/>
      <c r="AX100" s="68"/>
      <c r="AY100" s="68"/>
      <c r="AZ100" s="68"/>
      <c r="BA100" s="68"/>
      <c r="BB100" s="68">
        <v>1</v>
      </c>
      <c r="BC100" s="68"/>
      <c r="BD100" s="68"/>
      <c r="BE100" s="68"/>
      <c r="BF100" s="68">
        <v>1</v>
      </c>
      <c r="BG100" s="68"/>
      <c r="BH100" s="68"/>
      <c r="BI100" s="68"/>
      <c r="BJ100" s="68"/>
      <c r="BK100" s="68"/>
      <c r="BL100" s="68"/>
      <c r="BM100" s="68">
        <v>1</v>
      </c>
      <c r="BN100" s="68"/>
      <c r="BO100" s="68"/>
      <c r="BP100" s="68"/>
      <c r="BQ100" s="68"/>
      <c r="BR100" s="68">
        <v>1</v>
      </c>
      <c r="BS100" s="68"/>
      <c r="BT100" s="68"/>
    </row>
    <row r="101" spans="1:72" ht="25.5" x14ac:dyDescent="0.2">
      <c r="A101" s="61">
        <v>346</v>
      </c>
      <c r="B101" s="62" t="s">
        <v>75</v>
      </c>
      <c r="C101" s="63" t="s">
        <v>183</v>
      </c>
      <c r="D101" s="63" t="s">
        <v>275</v>
      </c>
      <c r="E101" s="62" t="s">
        <v>276</v>
      </c>
      <c r="F101" s="63"/>
      <c r="G101" s="62"/>
      <c r="H101" s="63" t="s">
        <v>279</v>
      </c>
      <c r="I101" s="61" t="s">
        <v>280</v>
      </c>
      <c r="J101" s="61" t="s">
        <v>280</v>
      </c>
      <c r="K101" s="61" t="s">
        <v>281</v>
      </c>
      <c r="L101" s="61" t="s">
        <v>281</v>
      </c>
      <c r="M101" s="64">
        <f t="shared" si="53"/>
        <v>0</v>
      </c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</row>
    <row r="102" spans="1:72" s="69" customFormat="1" ht="25.5" x14ac:dyDescent="0.2">
      <c r="A102" s="65">
        <v>347</v>
      </c>
      <c r="B102" s="66" t="s">
        <v>75</v>
      </c>
      <c r="C102" s="67" t="s">
        <v>184</v>
      </c>
      <c r="D102" s="67" t="s">
        <v>259</v>
      </c>
      <c r="E102" s="66" t="s">
        <v>260</v>
      </c>
      <c r="F102" s="67" t="s">
        <v>259</v>
      </c>
      <c r="G102" s="66" t="s">
        <v>262</v>
      </c>
      <c r="H102" s="67" t="s">
        <v>279</v>
      </c>
      <c r="I102" s="65" t="s">
        <v>280</v>
      </c>
      <c r="J102" s="65" t="s">
        <v>281</v>
      </c>
      <c r="K102" s="65" t="s">
        <v>281</v>
      </c>
      <c r="L102" s="65" t="s">
        <v>280</v>
      </c>
      <c r="M102" s="68">
        <f t="shared" si="53"/>
        <v>8259.4700000000012</v>
      </c>
      <c r="N102" s="68">
        <f>380.52+55+60</f>
        <v>495.52</v>
      </c>
      <c r="O102" s="68"/>
      <c r="P102" s="68">
        <f>100.63+96+1361.4+788.53+1086.95+40.96+164.16+547.15+1352.68+805.21+150.02+196.69+320.63+752.94</f>
        <v>7763.9500000000007</v>
      </c>
      <c r="Q102" s="68"/>
      <c r="R102" s="68"/>
      <c r="S102" s="68"/>
      <c r="T102" s="68"/>
      <c r="U102" s="68"/>
      <c r="V102" s="68">
        <v>1</v>
      </c>
      <c r="W102" s="68"/>
      <c r="X102" s="68"/>
      <c r="Y102" s="68"/>
      <c r="Z102" s="68"/>
      <c r="AA102" s="68"/>
      <c r="AB102" s="68"/>
      <c r="AC102" s="68">
        <v>1</v>
      </c>
      <c r="AD102" s="68"/>
      <c r="AE102" s="68">
        <v>1</v>
      </c>
      <c r="AF102" s="68"/>
      <c r="AG102" s="68">
        <v>1</v>
      </c>
      <c r="AH102" s="68">
        <v>1</v>
      </c>
      <c r="AI102" s="68"/>
      <c r="AJ102" s="68"/>
      <c r="AK102" s="68"/>
      <c r="AL102" s="68"/>
      <c r="AM102" s="68">
        <v>1</v>
      </c>
      <c r="AN102" s="68">
        <v>1</v>
      </c>
      <c r="AO102" s="68">
        <v>1</v>
      </c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>
        <v>1</v>
      </c>
      <c r="BH102" s="68"/>
      <c r="BI102" s="68"/>
      <c r="BJ102" s="68">
        <v>1</v>
      </c>
      <c r="BK102" s="68">
        <v>1</v>
      </c>
      <c r="BL102" s="68"/>
      <c r="BM102" s="68"/>
      <c r="BN102" s="68">
        <v>1</v>
      </c>
      <c r="BO102" s="68"/>
      <c r="BP102" s="68"/>
      <c r="BQ102" s="68"/>
      <c r="BR102" s="68"/>
      <c r="BS102" s="68"/>
      <c r="BT102" s="68"/>
    </row>
    <row r="103" spans="1:72" s="69" customFormat="1" ht="25.5" x14ac:dyDescent="0.2">
      <c r="A103" s="65">
        <v>350</v>
      </c>
      <c r="B103" s="66" t="s">
        <v>75</v>
      </c>
      <c r="C103" s="67" t="s">
        <v>185</v>
      </c>
      <c r="D103" s="67" t="s">
        <v>259</v>
      </c>
      <c r="E103" s="66" t="s">
        <v>260</v>
      </c>
      <c r="F103" s="67" t="s">
        <v>259</v>
      </c>
      <c r="G103" s="66" t="s">
        <v>262</v>
      </c>
      <c r="H103" s="67" t="s">
        <v>279</v>
      </c>
      <c r="I103" s="65" t="s">
        <v>280</v>
      </c>
      <c r="J103" s="65" t="s">
        <v>280</v>
      </c>
      <c r="K103" s="65" t="s">
        <v>281</v>
      </c>
      <c r="L103" s="65" t="s">
        <v>280</v>
      </c>
      <c r="M103" s="68">
        <f t="shared" si="53"/>
        <v>0</v>
      </c>
      <c r="N103" s="68">
        <v>0</v>
      </c>
      <c r="O103" s="68">
        <v>0</v>
      </c>
      <c r="P103" s="68">
        <v>0</v>
      </c>
      <c r="Q103" s="68">
        <v>0</v>
      </c>
      <c r="R103" s="68">
        <v>0</v>
      </c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>
        <v>1</v>
      </c>
      <c r="BH103" s="68">
        <v>1</v>
      </c>
      <c r="BI103" s="68"/>
      <c r="BJ103" s="68">
        <v>1</v>
      </c>
      <c r="BK103" s="68"/>
      <c r="BL103" s="68"/>
      <c r="BM103" s="68">
        <v>1</v>
      </c>
      <c r="BN103" s="68">
        <v>1</v>
      </c>
      <c r="BO103" s="68"/>
      <c r="BP103" s="68"/>
      <c r="BQ103" s="68"/>
      <c r="BR103" s="68">
        <v>1</v>
      </c>
      <c r="BS103" s="68">
        <v>1</v>
      </c>
      <c r="BT103" s="68"/>
    </row>
    <row r="104" spans="1:72" s="69" customFormat="1" ht="25.5" x14ac:dyDescent="0.2">
      <c r="A104" s="65">
        <v>352</v>
      </c>
      <c r="B104" s="66" t="s">
        <v>75</v>
      </c>
      <c r="C104" s="67" t="s">
        <v>186</v>
      </c>
      <c r="D104" s="67" t="s">
        <v>256</v>
      </c>
      <c r="E104" s="66" t="s">
        <v>268</v>
      </c>
      <c r="F104" s="67" t="s">
        <v>275</v>
      </c>
      <c r="G104" s="66" t="s">
        <v>277</v>
      </c>
      <c r="H104" s="67" t="s">
        <v>279</v>
      </c>
      <c r="I104" s="65" t="s">
        <v>280</v>
      </c>
      <c r="J104" s="65" t="s">
        <v>280</v>
      </c>
      <c r="K104" s="65" t="s">
        <v>281</v>
      </c>
      <c r="L104" s="65" t="s">
        <v>280</v>
      </c>
      <c r="M104" s="68">
        <f t="shared" si="53"/>
        <v>1161275.7830000001</v>
      </c>
      <c r="N104" s="68"/>
      <c r="O104" s="68"/>
      <c r="P104" s="68">
        <f>156242.663+89983.026+17179.407+7548.568+15518.537+281146.133+593657.449</f>
        <v>1161275.7830000001</v>
      </c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</row>
    <row r="105" spans="1:72" s="69" customFormat="1" ht="25.5" x14ac:dyDescent="0.2">
      <c r="A105" s="65">
        <v>355</v>
      </c>
      <c r="B105" s="66" t="s">
        <v>75</v>
      </c>
      <c r="C105" s="67" t="s">
        <v>187</v>
      </c>
      <c r="D105" s="67" t="s">
        <v>259</v>
      </c>
      <c r="E105" s="66" t="s">
        <v>260</v>
      </c>
      <c r="F105" s="67"/>
      <c r="G105" s="66"/>
      <c r="H105" s="67" t="s">
        <v>279</v>
      </c>
      <c r="I105" s="65" t="s">
        <v>280</v>
      </c>
      <c r="J105" s="65" t="s">
        <v>281</v>
      </c>
      <c r="K105" s="65" t="s">
        <v>281</v>
      </c>
      <c r="L105" s="65" t="s">
        <v>281</v>
      </c>
      <c r="M105" s="68">
        <f t="shared" si="53"/>
        <v>0</v>
      </c>
      <c r="N105" s="68">
        <v>0</v>
      </c>
      <c r="O105" s="68">
        <v>0</v>
      </c>
      <c r="P105" s="68">
        <v>0</v>
      </c>
      <c r="Q105" s="68">
        <v>0</v>
      </c>
      <c r="R105" s="68">
        <v>0</v>
      </c>
      <c r="S105" s="68">
        <v>0</v>
      </c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</row>
    <row r="106" spans="1:72" s="69" customFormat="1" ht="25.5" x14ac:dyDescent="0.2">
      <c r="A106" s="65">
        <v>357</v>
      </c>
      <c r="B106" s="66" t="s">
        <v>75</v>
      </c>
      <c r="C106" s="67" t="s">
        <v>188</v>
      </c>
      <c r="D106" s="67" t="s">
        <v>254</v>
      </c>
      <c r="E106" s="66" t="s">
        <v>255</v>
      </c>
      <c r="F106" s="67" t="s">
        <v>254</v>
      </c>
      <c r="G106" s="66" t="s">
        <v>258</v>
      </c>
      <c r="H106" s="67" t="s">
        <v>279</v>
      </c>
      <c r="I106" s="65" t="s">
        <v>280</v>
      </c>
      <c r="J106" s="65" t="s">
        <v>281</v>
      </c>
      <c r="K106" s="65" t="s">
        <v>281</v>
      </c>
      <c r="L106" s="65" t="s">
        <v>280</v>
      </c>
      <c r="M106" s="68">
        <f t="shared" si="53"/>
        <v>291423.2</v>
      </c>
      <c r="N106" s="68">
        <v>291423.2</v>
      </c>
      <c r="O106" s="68"/>
      <c r="P106" s="68"/>
      <c r="Q106" s="68"/>
      <c r="R106" s="68"/>
      <c r="S106" s="68"/>
      <c r="T106" s="68"/>
      <c r="U106" s="68">
        <v>1</v>
      </c>
      <c r="V106" s="68">
        <v>1</v>
      </c>
      <c r="W106" s="68">
        <v>1</v>
      </c>
      <c r="X106" s="68"/>
      <c r="Y106" s="68">
        <v>1</v>
      </c>
      <c r="Z106" s="68">
        <v>1</v>
      </c>
      <c r="AA106" s="68">
        <v>1</v>
      </c>
      <c r="AB106" s="68">
        <v>1</v>
      </c>
      <c r="AC106" s="68">
        <v>1</v>
      </c>
      <c r="AD106" s="68">
        <v>1</v>
      </c>
      <c r="AE106" s="68">
        <v>1</v>
      </c>
      <c r="AF106" s="68">
        <v>1</v>
      </c>
      <c r="AG106" s="68">
        <v>1</v>
      </c>
      <c r="AH106" s="68">
        <v>1</v>
      </c>
      <c r="AI106" s="68">
        <v>1</v>
      </c>
      <c r="AJ106" s="68">
        <v>1</v>
      </c>
      <c r="AK106" s="68">
        <v>1</v>
      </c>
      <c r="AL106" s="68">
        <v>1</v>
      </c>
      <c r="AM106" s="68">
        <v>1</v>
      </c>
      <c r="AN106" s="68">
        <v>1</v>
      </c>
      <c r="AO106" s="68">
        <v>1</v>
      </c>
      <c r="AP106" s="68">
        <v>1</v>
      </c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>
        <v>1</v>
      </c>
      <c r="BC106" s="68"/>
      <c r="BD106" s="68"/>
      <c r="BE106" s="68">
        <v>1</v>
      </c>
      <c r="BF106" s="68">
        <v>1</v>
      </c>
      <c r="BG106" s="68">
        <v>1</v>
      </c>
      <c r="BH106" s="68"/>
      <c r="BI106" s="68"/>
      <c r="BJ106" s="68"/>
      <c r="BK106" s="68"/>
      <c r="BL106" s="68">
        <v>1</v>
      </c>
      <c r="BM106" s="68"/>
      <c r="BN106" s="68"/>
      <c r="BO106" s="68"/>
      <c r="BP106" s="68"/>
      <c r="BQ106" s="68"/>
      <c r="BR106" s="68">
        <v>1</v>
      </c>
      <c r="BS106" s="68"/>
      <c r="BT106" s="68"/>
    </row>
    <row r="107" spans="1:72" ht="25.5" x14ac:dyDescent="0.2">
      <c r="A107" s="61">
        <v>358</v>
      </c>
      <c r="B107" s="62" t="s">
        <v>75</v>
      </c>
      <c r="C107" s="63" t="s">
        <v>189</v>
      </c>
      <c r="D107" s="63" t="s">
        <v>259</v>
      </c>
      <c r="E107" s="62" t="s">
        <v>260</v>
      </c>
      <c r="F107" s="63"/>
      <c r="G107" s="62"/>
      <c r="H107" s="63" t="s">
        <v>279</v>
      </c>
      <c r="I107" s="61" t="s">
        <v>280</v>
      </c>
      <c r="J107" s="61" t="s">
        <v>281</v>
      </c>
      <c r="K107" s="61" t="s">
        <v>281</v>
      </c>
      <c r="L107" s="61" t="s">
        <v>281</v>
      </c>
      <c r="M107" s="64">
        <f t="shared" si="53"/>
        <v>0</v>
      </c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</row>
    <row r="108" spans="1:72" ht="25.5" x14ac:dyDescent="0.2">
      <c r="A108" s="61">
        <v>359</v>
      </c>
      <c r="B108" s="62" t="s">
        <v>75</v>
      </c>
      <c r="C108" s="63" t="s">
        <v>190</v>
      </c>
      <c r="D108" s="63" t="s">
        <v>259</v>
      </c>
      <c r="E108" s="62" t="s">
        <v>260</v>
      </c>
      <c r="F108" s="63" t="s">
        <v>259</v>
      </c>
      <c r="G108" s="62" t="s">
        <v>262</v>
      </c>
      <c r="H108" s="63" t="s">
        <v>279</v>
      </c>
      <c r="I108" s="61" t="s">
        <v>280</v>
      </c>
      <c r="J108" s="61" t="s">
        <v>281</v>
      </c>
      <c r="K108" s="61" t="s">
        <v>281</v>
      </c>
      <c r="L108" s="61" t="s">
        <v>280</v>
      </c>
      <c r="M108" s="64">
        <f t="shared" si="53"/>
        <v>0</v>
      </c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</row>
    <row r="109" spans="1:72" s="69" customFormat="1" ht="25.5" x14ac:dyDescent="0.2">
      <c r="A109" s="65">
        <v>360</v>
      </c>
      <c r="B109" s="66" t="s">
        <v>79</v>
      </c>
      <c r="C109" s="67" t="s">
        <v>191</v>
      </c>
      <c r="D109" s="67" t="s">
        <v>259</v>
      </c>
      <c r="E109" s="66" t="s">
        <v>260</v>
      </c>
      <c r="F109" s="67"/>
      <c r="G109" s="66"/>
      <c r="H109" s="67" t="s">
        <v>279</v>
      </c>
      <c r="I109" s="65" t="s">
        <v>280</v>
      </c>
      <c r="J109" s="65" t="s">
        <v>280</v>
      </c>
      <c r="K109" s="65" t="s">
        <v>281</v>
      </c>
      <c r="L109" s="65" t="s">
        <v>281</v>
      </c>
      <c r="M109" s="68">
        <f t="shared" si="53"/>
        <v>0</v>
      </c>
      <c r="N109" s="68">
        <v>0</v>
      </c>
      <c r="O109" s="68">
        <v>0</v>
      </c>
      <c r="P109" s="68">
        <v>0</v>
      </c>
      <c r="Q109" s="68">
        <v>0</v>
      </c>
      <c r="R109" s="68">
        <v>0</v>
      </c>
      <c r="S109" s="68">
        <v>0</v>
      </c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>
        <v>1</v>
      </c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>
        <v>1</v>
      </c>
      <c r="BS109" s="68"/>
      <c r="BT109" s="68"/>
    </row>
    <row r="110" spans="1:72" s="69" customFormat="1" ht="25.5" x14ac:dyDescent="0.2">
      <c r="A110" s="65">
        <v>361</v>
      </c>
      <c r="B110" s="66" t="s">
        <v>75</v>
      </c>
      <c r="C110" s="67" t="s">
        <v>192</v>
      </c>
      <c r="D110" s="67" t="s">
        <v>259</v>
      </c>
      <c r="E110" s="66" t="s">
        <v>260</v>
      </c>
      <c r="F110" s="67" t="s">
        <v>259</v>
      </c>
      <c r="G110" s="66" t="s">
        <v>262</v>
      </c>
      <c r="H110" s="67" t="s">
        <v>279</v>
      </c>
      <c r="I110" s="65" t="s">
        <v>280</v>
      </c>
      <c r="J110" s="65" t="s">
        <v>281</v>
      </c>
      <c r="K110" s="65" t="s">
        <v>281</v>
      </c>
      <c r="L110" s="65" t="s">
        <v>280</v>
      </c>
      <c r="M110" s="68">
        <f t="shared" si="53"/>
        <v>0</v>
      </c>
      <c r="N110" s="68">
        <v>0</v>
      </c>
      <c r="O110" s="68">
        <v>0</v>
      </c>
      <c r="P110" s="68">
        <v>0</v>
      </c>
      <c r="Q110" s="68">
        <v>0</v>
      </c>
      <c r="R110" s="68">
        <v>0</v>
      </c>
      <c r="S110" s="68">
        <v>0</v>
      </c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>
        <v>1</v>
      </c>
      <c r="BI110" s="68"/>
      <c r="BJ110" s="68"/>
      <c r="BK110" s="68"/>
      <c r="BL110" s="68"/>
      <c r="BM110" s="68">
        <v>1</v>
      </c>
      <c r="BN110" s="68"/>
      <c r="BO110" s="68"/>
      <c r="BP110" s="68"/>
      <c r="BQ110" s="68"/>
      <c r="BR110" s="68">
        <v>1</v>
      </c>
      <c r="BS110" s="68">
        <v>1</v>
      </c>
      <c r="BT110" s="68"/>
    </row>
    <row r="111" spans="1:72" s="69" customFormat="1" ht="25.5" x14ac:dyDescent="0.2">
      <c r="A111" s="65">
        <v>363</v>
      </c>
      <c r="B111" s="66" t="s">
        <v>79</v>
      </c>
      <c r="C111" s="67" t="s">
        <v>193</v>
      </c>
      <c r="D111" s="67" t="s">
        <v>254</v>
      </c>
      <c r="E111" s="66" t="s">
        <v>255</v>
      </c>
      <c r="F111" s="67"/>
      <c r="G111" s="66"/>
      <c r="H111" s="67" t="s">
        <v>279</v>
      </c>
      <c r="I111" s="65" t="s">
        <v>280</v>
      </c>
      <c r="J111" s="65" t="s">
        <v>280</v>
      </c>
      <c r="K111" s="65" t="s">
        <v>281</v>
      </c>
      <c r="L111" s="65" t="s">
        <v>281</v>
      </c>
      <c r="M111" s="68">
        <f t="shared" si="53"/>
        <v>0</v>
      </c>
      <c r="N111" s="68">
        <v>0</v>
      </c>
      <c r="O111" s="68">
        <v>0</v>
      </c>
      <c r="P111" s="68">
        <v>0</v>
      </c>
      <c r="Q111" s="68">
        <v>0</v>
      </c>
      <c r="R111" s="68">
        <v>0</v>
      </c>
      <c r="S111" s="68">
        <v>0</v>
      </c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>
        <v>1</v>
      </c>
      <c r="BH111" s="68"/>
      <c r="BI111" s="68"/>
      <c r="BJ111" s="68"/>
      <c r="BK111" s="68"/>
      <c r="BL111" s="68"/>
      <c r="BM111" s="68"/>
      <c r="BN111" s="68">
        <v>1</v>
      </c>
      <c r="BO111" s="68"/>
      <c r="BP111" s="68"/>
      <c r="BQ111" s="68"/>
      <c r="BR111" s="68"/>
      <c r="BS111" s="68"/>
      <c r="BT111" s="68"/>
    </row>
    <row r="112" spans="1:72" s="69" customFormat="1" ht="25.5" x14ac:dyDescent="0.2">
      <c r="A112" s="65">
        <v>367</v>
      </c>
      <c r="B112" s="66" t="s">
        <v>75</v>
      </c>
      <c r="C112" s="67" t="s">
        <v>194</v>
      </c>
      <c r="D112" s="67" t="s">
        <v>259</v>
      </c>
      <c r="E112" s="66" t="s">
        <v>260</v>
      </c>
      <c r="F112" s="67" t="s">
        <v>259</v>
      </c>
      <c r="G112" s="66" t="s">
        <v>262</v>
      </c>
      <c r="H112" s="67" t="s">
        <v>279</v>
      </c>
      <c r="I112" s="65" t="s">
        <v>280</v>
      </c>
      <c r="J112" s="65" t="s">
        <v>281</v>
      </c>
      <c r="K112" s="65" t="s">
        <v>281</v>
      </c>
      <c r="L112" s="65" t="s">
        <v>280</v>
      </c>
      <c r="M112" s="68">
        <f t="shared" si="53"/>
        <v>228477</v>
      </c>
      <c r="N112" s="68">
        <f>207110+21367</f>
        <v>228477</v>
      </c>
      <c r="O112" s="68"/>
      <c r="P112" s="68"/>
      <c r="Q112" s="68"/>
      <c r="R112" s="68"/>
      <c r="S112" s="68"/>
      <c r="T112" s="68"/>
      <c r="U112" s="68">
        <v>1</v>
      </c>
      <c r="V112" s="68">
        <v>1</v>
      </c>
      <c r="W112" s="68">
        <v>1</v>
      </c>
      <c r="X112" s="68">
        <v>1</v>
      </c>
      <c r="Y112" s="68"/>
      <c r="Z112" s="68">
        <v>1</v>
      </c>
      <c r="AA112" s="68">
        <v>1</v>
      </c>
      <c r="AB112" s="68">
        <v>1</v>
      </c>
      <c r="AC112" s="68">
        <v>1</v>
      </c>
      <c r="AD112" s="68"/>
      <c r="AE112" s="68"/>
      <c r="AF112" s="68">
        <v>1</v>
      </c>
      <c r="AG112" s="68">
        <v>1</v>
      </c>
      <c r="AH112" s="68">
        <v>1</v>
      </c>
      <c r="AI112" s="68">
        <v>1</v>
      </c>
      <c r="AJ112" s="68"/>
      <c r="AK112" s="68"/>
      <c r="AL112" s="68">
        <v>1</v>
      </c>
      <c r="AM112" s="68">
        <v>1</v>
      </c>
      <c r="AN112" s="68">
        <v>1</v>
      </c>
      <c r="AO112" s="68">
        <v>1</v>
      </c>
      <c r="AP112" s="68">
        <v>1</v>
      </c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>
        <v>1</v>
      </c>
      <c r="BF112" s="68">
        <v>1</v>
      </c>
      <c r="BG112" s="68">
        <v>1</v>
      </c>
      <c r="BH112" s="68">
        <v>1</v>
      </c>
      <c r="BI112" s="68"/>
      <c r="BJ112" s="68">
        <v>1</v>
      </c>
      <c r="BK112" s="68"/>
      <c r="BL112" s="68">
        <v>1</v>
      </c>
      <c r="BM112" s="68">
        <v>1</v>
      </c>
      <c r="BN112" s="68">
        <v>1</v>
      </c>
      <c r="BO112" s="68"/>
      <c r="BP112" s="68">
        <v>1</v>
      </c>
      <c r="BQ112" s="68"/>
      <c r="BR112" s="68">
        <v>1</v>
      </c>
      <c r="BS112" s="68">
        <v>1</v>
      </c>
      <c r="BT112" s="68"/>
    </row>
    <row r="113" spans="1:72" s="69" customFormat="1" ht="25.5" x14ac:dyDescent="0.2">
      <c r="A113" s="65">
        <v>368</v>
      </c>
      <c r="B113" s="66" t="s">
        <v>75</v>
      </c>
      <c r="C113" s="67" t="s">
        <v>195</v>
      </c>
      <c r="D113" s="67" t="s">
        <v>259</v>
      </c>
      <c r="E113" s="66" t="s">
        <v>260</v>
      </c>
      <c r="F113" s="67" t="s">
        <v>259</v>
      </c>
      <c r="G113" s="66" t="s">
        <v>262</v>
      </c>
      <c r="H113" s="67" t="s">
        <v>279</v>
      </c>
      <c r="I113" s="65" t="s">
        <v>280</v>
      </c>
      <c r="J113" s="65" t="s">
        <v>281</v>
      </c>
      <c r="K113" s="65" t="s">
        <v>281</v>
      </c>
      <c r="L113" s="65" t="s">
        <v>280</v>
      </c>
      <c r="M113" s="68">
        <f t="shared" si="53"/>
        <v>0</v>
      </c>
      <c r="N113" s="68">
        <v>0</v>
      </c>
      <c r="O113" s="68">
        <v>0</v>
      </c>
      <c r="P113" s="68">
        <v>0</v>
      </c>
      <c r="Q113" s="68">
        <v>0</v>
      </c>
      <c r="R113" s="68">
        <v>0</v>
      </c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>
        <v>1</v>
      </c>
      <c r="BI113" s="68"/>
      <c r="BJ113" s="68"/>
      <c r="BK113" s="68"/>
      <c r="BL113" s="68">
        <v>1</v>
      </c>
      <c r="BM113" s="68">
        <v>1</v>
      </c>
      <c r="BN113" s="68"/>
      <c r="BO113" s="68"/>
      <c r="BP113" s="68"/>
      <c r="BQ113" s="68"/>
      <c r="BR113" s="68"/>
      <c r="BS113" s="68">
        <v>1</v>
      </c>
      <c r="BT113" s="68"/>
    </row>
    <row r="114" spans="1:72" s="69" customFormat="1" ht="25.5" x14ac:dyDescent="0.2">
      <c r="A114" s="65">
        <v>369</v>
      </c>
      <c r="B114" s="66" t="s">
        <v>82</v>
      </c>
      <c r="C114" s="67" t="s">
        <v>196</v>
      </c>
      <c r="D114" s="67" t="s">
        <v>259</v>
      </c>
      <c r="E114" s="66" t="s">
        <v>260</v>
      </c>
      <c r="F114" s="67"/>
      <c r="G114" s="66"/>
      <c r="H114" s="67" t="s">
        <v>279</v>
      </c>
      <c r="I114" s="65" t="s">
        <v>280</v>
      </c>
      <c r="J114" s="65" t="s">
        <v>281</v>
      </c>
      <c r="K114" s="65" t="s">
        <v>281</v>
      </c>
      <c r="L114" s="65" t="s">
        <v>281</v>
      </c>
      <c r="M114" s="68">
        <f t="shared" si="53"/>
        <v>20599.87</v>
      </c>
      <c r="N114" s="68"/>
      <c r="O114" s="68"/>
      <c r="P114" s="68"/>
      <c r="Q114" s="68"/>
      <c r="R114" s="68">
        <v>20599.87</v>
      </c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>
        <v>1</v>
      </c>
      <c r="BE114" s="68">
        <v>1</v>
      </c>
      <c r="BF114" s="68">
        <v>1</v>
      </c>
      <c r="BG114" s="68"/>
      <c r="BH114" s="68"/>
      <c r="BI114" s="68"/>
      <c r="BJ114" s="68">
        <v>1</v>
      </c>
      <c r="BK114" s="68"/>
      <c r="BL114" s="68"/>
      <c r="BM114" s="68">
        <v>1</v>
      </c>
      <c r="BN114" s="68"/>
      <c r="BO114" s="68"/>
      <c r="BP114" s="68"/>
      <c r="BQ114" s="68"/>
      <c r="BR114" s="68"/>
      <c r="BS114" s="68"/>
      <c r="BT114" s="68"/>
    </row>
    <row r="115" spans="1:72" ht="25.5" x14ac:dyDescent="0.2">
      <c r="A115" s="61">
        <v>371</v>
      </c>
      <c r="B115" s="62" t="s">
        <v>75</v>
      </c>
      <c r="C115" s="63" t="s">
        <v>197</v>
      </c>
      <c r="D115" s="63" t="s">
        <v>256</v>
      </c>
      <c r="E115" s="62" t="s">
        <v>268</v>
      </c>
      <c r="F115" s="63" t="s">
        <v>259</v>
      </c>
      <c r="G115" s="62" t="s">
        <v>262</v>
      </c>
      <c r="H115" s="63" t="s">
        <v>279</v>
      </c>
      <c r="I115" s="61" t="s">
        <v>280</v>
      </c>
      <c r="J115" s="61" t="s">
        <v>281</v>
      </c>
      <c r="K115" s="61" t="s">
        <v>281</v>
      </c>
      <c r="L115" s="61" t="s">
        <v>280</v>
      </c>
      <c r="M115" s="64">
        <f t="shared" si="53"/>
        <v>0</v>
      </c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</row>
    <row r="116" spans="1:72" s="69" customFormat="1" ht="25.5" x14ac:dyDescent="0.2">
      <c r="A116" s="65">
        <v>372</v>
      </c>
      <c r="B116" s="66" t="s">
        <v>75</v>
      </c>
      <c r="C116" s="67" t="s">
        <v>198</v>
      </c>
      <c r="D116" s="67" t="s">
        <v>254</v>
      </c>
      <c r="E116" s="66" t="s">
        <v>255</v>
      </c>
      <c r="F116" s="67" t="s">
        <v>256</v>
      </c>
      <c r="G116" s="66" t="s">
        <v>257</v>
      </c>
      <c r="H116" s="67" t="s">
        <v>279</v>
      </c>
      <c r="I116" s="65" t="s">
        <v>280</v>
      </c>
      <c r="J116" s="65" t="s">
        <v>280</v>
      </c>
      <c r="K116" s="65" t="s">
        <v>281</v>
      </c>
      <c r="L116" s="65" t="s">
        <v>280</v>
      </c>
      <c r="M116" s="68">
        <f t="shared" si="53"/>
        <v>450433.45</v>
      </c>
      <c r="N116" s="68">
        <f>1952.37+3392.95+19346.71+10300.36+3155.51+46831.2+44183.63+757.09+39837.34+17142.73+9331.75+32799.13+1097.07+1582.93+11860.4</f>
        <v>243571.17</v>
      </c>
      <c r="O116" s="68">
        <f>89697.38+31400.03+15489.51</f>
        <v>136586.92000000001</v>
      </c>
      <c r="P116" s="68">
        <v>70275.360000000001</v>
      </c>
      <c r="Q116" s="68"/>
      <c r="R116" s="68"/>
      <c r="S116" s="68"/>
      <c r="T116" s="68"/>
      <c r="U116" s="68"/>
      <c r="V116" s="68">
        <v>1</v>
      </c>
      <c r="W116" s="68"/>
      <c r="X116" s="68"/>
      <c r="Y116" s="68"/>
      <c r="Z116" s="68">
        <v>1</v>
      </c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>
        <v>1</v>
      </c>
      <c r="AM116" s="68">
        <v>1</v>
      </c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>
        <v>1</v>
      </c>
      <c r="BI116" s="68"/>
      <c r="BJ116" s="68"/>
      <c r="BK116" s="68"/>
      <c r="BL116" s="68"/>
      <c r="BM116" s="68"/>
      <c r="BN116" s="68"/>
      <c r="BO116" s="68"/>
      <c r="BP116" s="68">
        <v>1</v>
      </c>
      <c r="BQ116" s="68"/>
      <c r="BR116" s="68"/>
      <c r="BS116" s="68"/>
      <c r="BT116" s="68">
        <v>1</v>
      </c>
    </row>
    <row r="117" spans="1:72" ht="25.5" x14ac:dyDescent="0.2">
      <c r="A117" s="61">
        <v>373</v>
      </c>
      <c r="B117" s="62" t="s">
        <v>83</v>
      </c>
      <c r="C117" s="63" t="s">
        <v>199</v>
      </c>
      <c r="D117" s="63" t="s">
        <v>259</v>
      </c>
      <c r="E117" s="62" t="s">
        <v>260</v>
      </c>
      <c r="F117" s="63"/>
      <c r="G117" s="62"/>
      <c r="H117" s="63" t="s">
        <v>279</v>
      </c>
      <c r="I117" s="61" t="s">
        <v>280</v>
      </c>
      <c r="J117" s="61" t="s">
        <v>281</v>
      </c>
      <c r="K117" s="61" t="s">
        <v>281</v>
      </c>
      <c r="L117" s="61" t="s">
        <v>281</v>
      </c>
      <c r="M117" s="64">
        <f t="shared" si="53"/>
        <v>0</v>
      </c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</row>
    <row r="118" spans="1:72" s="69" customFormat="1" ht="25.5" x14ac:dyDescent="0.2">
      <c r="A118" s="65">
        <v>375</v>
      </c>
      <c r="B118" s="66" t="s">
        <v>75</v>
      </c>
      <c r="C118" s="67" t="s">
        <v>200</v>
      </c>
      <c r="D118" s="67" t="s">
        <v>254</v>
      </c>
      <c r="E118" s="66" t="s">
        <v>255</v>
      </c>
      <c r="F118" s="67" t="s">
        <v>259</v>
      </c>
      <c r="G118" s="66" t="s">
        <v>262</v>
      </c>
      <c r="H118" s="67" t="s">
        <v>279</v>
      </c>
      <c r="I118" s="65" t="s">
        <v>280</v>
      </c>
      <c r="J118" s="65" t="s">
        <v>280</v>
      </c>
      <c r="K118" s="65" t="s">
        <v>281</v>
      </c>
      <c r="L118" s="65" t="s">
        <v>280</v>
      </c>
      <c r="M118" s="68">
        <f t="shared" si="53"/>
        <v>226163.39599999998</v>
      </c>
      <c r="N118" s="68">
        <f>52800.793+80752.113+27480.207+5717.6+12074.522+1830+3419.52+42088.641</f>
        <v>226163.39599999998</v>
      </c>
      <c r="O118" s="68"/>
      <c r="P118" s="68"/>
      <c r="Q118" s="68"/>
      <c r="R118" s="68"/>
      <c r="S118" s="68"/>
      <c r="T118" s="68"/>
      <c r="U118" s="68"/>
      <c r="V118" s="68">
        <v>1</v>
      </c>
      <c r="W118" s="68"/>
      <c r="X118" s="68"/>
      <c r="Y118" s="68">
        <v>1</v>
      </c>
      <c r="Z118" s="68">
        <v>1</v>
      </c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>
        <v>1</v>
      </c>
      <c r="AL118" s="68">
        <v>1</v>
      </c>
      <c r="AM118" s="68"/>
      <c r="AN118" s="68"/>
      <c r="AO118" s="68"/>
      <c r="AP118" s="68"/>
      <c r="AQ118" s="68"/>
      <c r="AR118" s="68"/>
      <c r="AS118" s="68">
        <v>1</v>
      </c>
      <c r="AT118" s="68"/>
      <c r="AU118" s="68">
        <v>1</v>
      </c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>
        <v>1</v>
      </c>
      <c r="BH118" s="68">
        <v>1</v>
      </c>
      <c r="BI118" s="68"/>
      <c r="BJ118" s="68"/>
      <c r="BK118" s="68"/>
      <c r="BL118" s="68">
        <v>1</v>
      </c>
      <c r="BM118" s="68">
        <v>1</v>
      </c>
      <c r="BN118" s="68"/>
      <c r="BO118" s="68"/>
      <c r="BP118" s="68"/>
      <c r="BQ118" s="68"/>
      <c r="BR118" s="68">
        <v>1</v>
      </c>
      <c r="BS118" s="68">
        <v>1</v>
      </c>
      <c r="BT118" s="68"/>
    </row>
    <row r="119" spans="1:72" ht="25.5" x14ac:dyDescent="0.2">
      <c r="A119" s="61">
        <v>376</v>
      </c>
      <c r="B119" s="62" t="s">
        <v>75</v>
      </c>
      <c r="C119" s="63" t="s">
        <v>201</v>
      </c>
      <c r="D119" s="63" t="s">
        <v>259</v>
      </c>
      <c r="E119" s="62" t="s">
        <v>260</v>
      </c>
      <c r="F119" s="63" t="s">
        <v>259</v>
      </c>
      <c r="G119" s="62" t="s">
        <v>262</v>
      </c>
      <c r="H119" s="63" t="s">
        <v>279</v>
      </c>
      <c r="I119" s="61" t="s">
        <v>280</v>
      </c>
      <c r="J119" s="61" t="s">
        <v>281</v>
      </c>
      <c r="K119" s="61" t="s">
        <v>281</v>
      </c>
      <c r="L119" s="61" t="s">
        <v>280</v>
      </c>
      <c r="M119" s="64">
        <f t="shared" si="53"/>
        <v>0</v>
      </c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</row>
    <row r="120" spans="1:72" s="69" customFormat="1" ht="25.5" x14ac:dyDescent="0.2">
      <c r="A120" s="65">
        <v>378</v>
      </c>
      <c r="B120" s="66" t="s">
        <v>75</v>
      </c>
      <c r="C120" s="67" t="s">
        <v>202</v>
      </c>
      <c r="D120" s="67" t="s">
        <v>259</v>
      </c>
      <c r="E120" s="66" t="s">
        <v>260</v>
      </c>
      <c r="F120" s="67" t="s">
        <v>259</v>
      </c>
      <c r="G120" s="66" t="s">
        <v>262</v>
      </c>
      <c r="H120" s="67" t="s">
        <v>279</v>
      </c>
      <c r="I120" s="65" t="s">
        <v>280</v>
      </c>
      <c r="J120" s="65" t="s">
        <v>281</v>
      </c>
      <c r="K120" s="65" t="s">
        <v>281</v>
      </c>
      <c r="L120" s="65" t="s">
        <v>280</v>
      </c>
      <c r="M120" s="68">
        <f t="shared" si="53"/>
        <v>110587.69856</v>
      </c>
      <c r="N120" s="68"/>
      <c r="O120" s="68"/>
      <c r="P120" s="68">
        <f>55423.88556+55163.813</f>
        <v>110587.69856</v>
      </c>
      <c r="Q120" s="68"/>
      <c r="R120" s="68"/>
      <c r="S120" s="68"/>
      <c r="T120" s="68"/>
      <c r="U120" s="68">
        <v>1</v>
      </c>
      <c r="V120" s="68">
        <v>1</v>
      </c>
      <c r="W120" s="68"/>
      <c r="X120" s="68"/>
      <c r="Y120" s="68"/>
      <c r="Z120" s="68"/>
      <c r="AA120" s="68">
        <v>1</v>
      </c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>
        <v>1</v>
      </c>
      <c r="AS120" s="68"/>
      <c r="AT120" s="68">
        <v>1</v>
      </c>
      <c r="AU120" s="68"/>
      <c r="AV120" s="68"/>
      <c r="AW120" s="68"/>
      <c r="AX120" s="68"/>
      <c r="AY120" s="68">
        <v>1</v>
      </c>
      <c r="AZ120" s="68"/>
      <c r="BA120" s="68"/>
      <c r="BB120" s="68"/>
      <c r="BC120" s="68"/>
      <c r="BD120" s="68"/>
      <c r="BE120" s="68"/>
      <c r="BF120" s="68"/>
      <c r="BG120" s="68">
        <v>1</v>
      </c>
      <c r="BH120" s="68">
        <v>1</v>
      </c>
      <c r="BI120" s="68"/>
      <c r="BJ120" s="68">
        <v>1</v>
      </c>
      <c r="BK120" s="68"/>
      <c r="BL120" s="68"/>
      <c r="BM120" s="68"/>
      <c r="BN120" s="68"/>
      <c r="BO120" s="68"/>
      <c r="BP120" s="68">
        <v>1</v>
      </c>
      <c r="BQ120" s="68"/>
      <c r="BR120" s="68"/>
      <c r="BS120" s="68"/>
      <c r="BT120" s="68"/>
    </row>
    <row r="121" spans="1:72" s="69" customFormat="1" ht="25.5" x14ac:dyDescent="0.2">
      <c r="A121" s="65">
        <v>381</v>
      </c>
      <c r="B121" s="66" t="s">
        <v>75</v>
      </c>
      <c r="C121" s="67" t="s">
        <v>203</v>
      </c>
      <c r="D121" s="67" t="s">
        <v>259</v>
      </c>
      <c r="E121" s="66" t="s">
        <v>260</v>
      </c>
      <c r="F121" s="67" t="s">
        <v>259</v>
      </c>
      <c r="G121" s="66" t="s">
        <v>262</v>
      </c>
      <c r="H121" s="67" t="s">
        <v>279</v>
      </c>
      <c r="I121" s="65" t="s">
        <v>280</v>
      </c>
      <c r="J121" s="65" t="s">
        <v>281</v>
      </c>
      <c r="K121" s="65" t="s">
        <v>281</v>
      </c>
      <c r="L121" s="65" t="s">
        <v>280</v>
      </c>
      <c r="M121" s="68">
        <f t="shared" si="53"/>
        <v>0</v>
      </c>
      <c r="N121" s="68">
        <v>0</v>
      </c>
      <c r="O121" s="68">
        <v>0</v>
      </c>
      <c r="P121" s="68">
        <v>0</v>
      </c>
      <c r="Q121" s="68">
        <v>0</v>
      </c>
      <c r="R121" s="68">
        <v>0</v>
      </c>
      <c r="S121" s="68">
        <v>0</v>
      </c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>
        <v>1</v>
      </c>
      <c r="BH121" s="68"/>
      <c r="BI121" s="68"/>
      <c r="BJ121" s="68">
        <v>1</v>
      </c>
      <c r="BK121" s="68"/>
      <c r="BL121" s="68">
        <v>1</v>
      </c>
      <c r="BM121" s="68">
        <v>1</v>
      </c>
      <c r="BN121" s="68"/>
      <c r="BO121" s="68"/>
      <c r="BP121" s="68"/>
      <c r="BQ121" s="68"/>
      <c r="BR121" s="68"/>
      <c r="BS121" s="68">
        <v>1</v>
      </c>
      <c r="BT121" s="68"/>
    </row>
    <row r="122" spans="1:72" s="69" customFormat="1" ht="25.5" x14ac:dyDescent="0.2">
      <c r="A122" s="65">
        <v>384</v>
      </c>
      <c r="B122" s="66" t="s">
        <v>75</v>
      </c>
      <c r="C122" s="67" t="s">
        <v>204</v>
      </c>
      <c r="D122" s="67" t="s">
        <v>272</v>
      </c>
      <c r="E122" s="66" t="s">
        <v>273</v>
      </c>
      <c r="F122" s="67" t="s">
        <v>272</v>
      </c>
      <c r="G122" s="66" t="s">
        <v>278</v>
      </c>
      <c r="H122" s="67" t="s">
        <v>279</v>
      </c>
      <c r="I122" s="65" t="s">
        <v>280</v>
      </c>
      <c r="J122" s="65" t="s">
        <v>280</v>
      </c>
      <c r="K122" s="65" t="s">
        <v>281</v>
      </c>
      <c r="L122" s="65" t="s">
        <v>280</v>
      </c>
      <c r="M122" s="68">
        <f t="shared" si="53"/>
        <v>34193751</v>
      </c>
      <c r="N122" s="68">
        <f>3509931+3932493+497261+1784149+2461458+3911750+835616+401323+20192+2466813+10461872+17271+1948543+69290</f>
        <v>32317962</v>
      </c>
      <c r="O122" s="68">
        <f>31001</f>
        <v>31001</v>
      </c>
      <c r="P122" s="68">
        <f>100+39161+78806</f>
        <v>118067</v>
      </c>
      <c r="Q122" s="68">
        <f>39799+244978+688329+833+11878+740904</f>
        <v>1726721</v>
      </c>
      <c r="R122" s="68"/>
      <c r="S122" s="68"/>
      <c r="T122" s="68"/>
      <c r="U122" s="68">
        <v>1</v>
      </c>
      <c r="V122" s="68">
        <v>1</v>
      </c>
      <c r="W122" s="68">
        <v>1</v>
      </c>
      <c r="X122" s="68">
        <v>1</v>
      </c>
      <c r="Y122" s="68">
        <v>1</v>
      </c>
      <c r="Z122" s="68">
        <v>1</v>
      </c>
      <c r="AA122" s="68">
        <v>1</v>
      </c>
      <c r="AB122" s="68">
        <v>1</v>
      </c>
      <c r="AC122" s="68">
        <v>1</v>
      </c>
      <c r="AD122" s="68">
        <v>1</v>
      </c>
      <c r="AE122" s="68">
        <v>1</v>
      </c>
      <c r="AF122" s="68"/>
      <c r="AG122" s="68">
        <v>1</v>
      </c>
      <c r="AH122" s="68">
        <v>1</v>
      </c>
      <c r="AI122" s="68">
        <v>1</v>
      </c>
      <c r="AJ122" s="68">
        <v>1</v>
      </c>
      <c r="AK122" s="68">
        <v>1</v>
      </c>
      <c r="AL122" s="68">
        <v>1</v>
      </c>
      <c r="AM122" s="68"/>
      <c r="AN122" s="68"/>
      <c r="AO122" s="68">
        <v>1</v>
      </c>
      <c r="AP122" s="68"/>
      <c r="AQ122" s="68"/>
      <c r="AR122" s="68"/>
      <c r="AS122" s="68"/>
      <c r="AT122" s="68"/>
      <c r="AU122" s="68">
        <v>1</v>
      </c>
      <c r="AV122" s="68"/>
      <c r="AW122" s="68"/>
      <c r="AX122" s="68"/>
      <c r="AY122" s="68">
        <v>1</v>
      </c>
      <c r="AZ122" s="68">
        <v>1</v>
      </c>
      <c r="BA122" s="68"/>
      <c r="BB122" s="68">
        <v>1</v>
      </c>
      <c r="BC122" s="68">
        <v>1</v>
      </c>
      <c r="BD122" s="68"/>
      <c r="BE122" s="68"/>
      <c r="BF122" s="68"/>
      <c r="BG122" s="68">
        <v>1</v>
      </c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>
        <v>1</v>
      </c>
      <c r="BS122" s="68"/>
      <c r="BT122" s="68"/>
    </row>
    <row r="123" spans="1:72" s="69" customFormat="1" ht="25.5" x14ac:dyDescent="0.2">
      <c r="A123" s="65">
        <v>387</v>
      </c>
      <c r="B123" s="66" t="s">
        <v>75</v>
      </c>
      <c r="C123" s="67" t="s">
        <v>205</v>
      </c>
      <c r="D123" s="67" t="s">
        <v>259</v>
      </c>
      <c r="E123" s="66" t="s">
        <v>260</v>
      </c>
      <c r="F123" s="67" t="s">
        <v>259</v>
      </c>
      <c r="G123" s="66" t="s">
        <v>262</v>
      </c>
      <c r="H123" s="67" t="s">
        <v>279</v>
      </c>
      <c r="I123" s="65" t="s">
        <v>280</v>
      </c>
      <c r="J123" s="65" t="s">
        <v>281</v>
      </c>
      <c r="K123" s="65" t="s">
        <v>281</v>
      </c>
      <c r="L123" s="65" t="s">
        <v>280</v>
      </c>
      <c r="M123" s="68">
        <f t="shared" si="53"/>
        <v>9445.4470000000001</v>
      </c>
      <c r="N123" s="68"/>
      <c r="O123" s="68"/>
      <c r="P123" s="68">
        <f>3467.914+5977.533</f>
        <v>9445.4470000000001</v>
      </c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>
        <v>1</v>
      </c>
      <c r="AD123" s="68"/>
      <c r="AE123" s="68">
        <v>1</v>
      </c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>
        <v>1</v>
      </c>
      <c r="BF123" s="68"/>
      <c r="BG123" s="68">
        <v>1</v>
      </c>
      <c r="BH123" s="68">
        <v>1</v>
      </c>
      <c r="BI123" s="68"/>
      <c r="BJ123" s="68">
        <v>1</v>
      </c>
      <c r="BK123" s="68"/>
      <c r="BL123" s="68">
        <v>1</v>
      </c>
      <c r="BM123" s="68">
        <v>1</v>
      </c>
      <c r="BN123" s="68">
        <v>1</v>
      </c>
      <c r="BO123" s="68"/>
      <c r="BP123" s="68"/>
      <c r="BQ123" s="68"/>
      <c r="BR123" s="68">
        <v>1</v>
      </c>
      <c r="BS123" s="68">
        <v>1</v>
      </c>
      <c r="BT123" s="68"/>
    </row>
    <row r="124" spans="1:72" s="69" customFormat="1" ht="25.5" x14ac:dyDescent="0.2">
      <c r="A124" s="65">
        <v>388</v>
      </c>
      <c r="B124" s="66" t="s">
        <v>75</v>
      </c>
      <c r="C124" s="67" t="s">
        <v>206</v>
      </c>
      <c r="D124" s="67" t="s">
        <v>259</v>
      </c>
      <c r="E124" s="66" t="s">
        <v>260</v>
      </c>
      <c r="F124" s="67"/>
      <c r="G124" s="66"/>
      <c r="H124" s="67" t="s">
        <v>279</v>
      </c>
      <c r="I124" s="65" t="s">
        <v>280</v>
      </c>
      <c r="J124" s="65" t="s">
        <v>281</v>
      </c>
      <c r="K124" s="65" t="s">
        <v>281</v>
      </c>
      <c r="L124" s="65" t="s">
        <v>281</v>
      </c>
      <c r="M124" s="68">
        <f t="shared" si="53"/>
        <v>18441</v>
      </c>
      <c r="N124" s="68"/>
      <c r="O124" s="68"/>
      <c r="P124" s="68">
        <f>2580+606+141+2359+3770+1237+503+338+1575+1129+1452+2751</f>
        <v>18441</v>
      </c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>
        <v>1</v>
      </c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>
        <v>1</v>
      </c>
      <c r="BK124" s="68"/>
      <c r="BL124" s="68"/>
      <c r="BM124" s="68"/>
      <c r="BN124" s="68"/>
      <c r="BO124" s="68"/>
      <c r="BP124" s="68"/>
      <c r="BQ124" s="68"/>
      <c r="BR124" s="68">
        <v>1</v>
      </c>
      <c r="BS124" s="68"/>
      <c r="BT124" s="68"/>
    </row>
    <row r="125" spans="1:72" s="69" customFormat="1" ht="25.5" x14ac:dyDescent="0.2">
      <c r="A125" s="65">
        <v>390</v>
      </c>
      <c r="B125" s="66" t="s">
        <v>83</v>
      </c>
      <c r="C125" s="67" t="s">
        <v>207</v>
      </c>
      <c r="D125" s="67" t="s">
        <v>254</v>
      </c>
      <c r="E125" s="66" t="s">
        <v>255</v>
      </c>
      <c r="F125" s="67" t="s">
        <v>254</v>
      </c>
      <c r="G125" s="66" t="s">
        <v>258</v>
      </c>
      <c r="H125" s="67" t="s">
        <v>279</v>
      </c>
      <c r="I125" s="65" t="s">
        <v>280</v>
      </c>
      <c r="J125" s="65" t="s">
        <v>281</v>
      </c>
      <c r="K125" s="65" t="s">
        <v>281</v>
      </c>
      <c r="L125" s="65" t="s">
        <v>280</v>
      </c>
      <c r="M125" s="68">
        <f t="shared" si="53"/>
        <v>67695.953780000011</v>
      </c>
      <c r="N125" s="68"/>
      <c r="O125" s="68"/>
      <c r="P125" s="68">
        <f>1727.20697+19382.42424+581.79429+14339.32998+5744.76673+2174.82131+8912.67931+5529.362+9303.56895</f>
        <v>67695.953780000011</v>
      </c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>
        <v>1</v>
      </c>
      <c r="AF125" s="68">
        <v>1</v>
      </c>
      <c r="AG125" s="68">
        <v>1</v>
      </c>
      <c r="AH125" s="68">
        <v>1</v>
      </c>
      <c r="AI125" s="68">
        <v>1</v>
      </c>
      <c r="AJ125" s="68"/>
      <c r="AK125" s="68"/>
      <c r="AL125" s="68">
        <v>1</v>
      </c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>
        <v>1</v>
      </c>
      <c r="BF125" s="68"/>
      <c r="BG125" s="68">
        <v>1</v>
      </c>
      <c r="BH125" s="68"/>
      <c r="BI125" s="68"/>
      <c r="BJ125" s="68">
        <v>1</v>
      </c>
      <c r="BK125" s="68"/>
      <c r="BL125" s="68">
        <v>1</v>
      </c>
      <c r="BM125" s="68">
        <v>1</v>
      </c>
      <c r="BN125" s="68"/>
      <c r="BO125" s="68"/>
      <c r="BP125" s="68"/>
      <c r="BQ125" s="68"/>
      <c r="BR125" s="68"/>
      <c r="BS125" s="68">
        <v>1</v>
      </c>
      <c r="BT125" s="68"/>
    </row>
    <row r="126" spans="1:72" ht="25.5" x14ac:dyDescent="0.2">
      <c r="A126" s="61">
        <v>392</v>
      </c>
      <c r="B126" s="62" t="s">
        <v>75</v>
      </c>
      <c r="C126" s="63" t="s">
        <v>208</v>
      </c>
      <c r="D126" s="63" t="s">
        <v>259</v>
      </c>
      <c r="E126" s="62" t="s">
        <v>260</v>
      </c>
      <c r="F126" s="63"/>
      <c r="G126" s="62"/>
      <c r="H126" s="63" t="s">
        <v>279</v>
      </c>
      <c r="I126" s="61" t="s">
        <v>280</v>
      </c>
      <c r="J126" s="61" t="s">
        <v>281</v>
      </c>
      <c r="K126" s="61" t="s">
        <v>281</v>
      </c>
      <c r="L126" s="61" t="s">
        <v>281</v>
      </c>
      <c r="M126" s="64">
        <f t="shared" si="53"/>
        <v>0</v>
      </c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</row>
    <row r="127" spans="1:72" s="69" customFormat="1" ht="25.5" x14ac:dyDescent="0.2">
      <c r="A127" s="65">
        <v>393</v>
      </c>
      <c r="B127" s="66" t="s">
        <v>75</v>
      </c>
      <c r="C127" s="67" t="s">
        <v>209</v>
      </c>
      <c r="D127" s="67" t="s">
        <v>259</v>
      </c>
      <c r="E127" s="66" t="s">
        <v>260</v>
      </c>
      <c r="F127" s="67" t="s">
        <v>259</v>
      </c>
      <c r="G127" s="66" t="s">
        <v>262</v>
      </c>
      <c r="H127" s="67" t="s">
        <v>279</v>
      </c>
      <c r="I127" s="65" t="s">
        <v>280</v>
      </c>
      <c r="J127" s="65" t="s">
        <v>280</v>
      </c>
      <c r="K127" s="65" t="s">
        <v>281</v>
      </c>
      <c r="L127" s="65" t="s">
        <v>280</v>
      </c>
      <c r="M127" s="68">
        <f t="shared" si="53"/>
        <v>207234.71</v>
      </c>
      <c r="N127" s="68">
        <f>48533.03+7139.44</f>
        <v>55672.47</v>
      </c>
      <c r="O127" s="68"/>
      <c r="P127" s="68"/>
      <c r="Q127" s="68"/>
      <c r="R127" s="68"/>
      <c r="S127" s="68">
        <f>11602.3+30035.92+54991.36+32459.45+21934.16+539.05</f>
        <v>151562.23999999999</v>
      </c>
      <c r="T127" s="68"/>
      <c r="U127" s="68">
        <v>1</v>
      </c>
      <c r="V127" s="68">
        <v>1</v>
      </c>
      <c r="W127" s="68">
        <v>1</v>
      </c>
      <c r="X127" s="68"/>
      <c r="Y127" s="68"/>
      <c r="Z127" s="68"/>
      <c r="AA127" s="68"/>
      <c r="AB127" s="68"/>
      <c r="AC127" s="68">
        <v>1</v>
      </c>
      <c r="AD127" s="68">
        <v>1</v>
      </c>
      <c r="AE127" s="68"/>
      <c r="AF127" s="68">
        <v>1</v>
      </c>
      <c r="AG127" s="68">
        <v>1</v>
      </c>
      <c r="AH127" s="68">
        <v>1</v>
      </c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>
        <v>1</v>
      </c>
      <c r="BF127" s="68"/>
      <c r="BG127" s="68">
        <v>1</v>
      </c>
      <c r="BH127" s="68">
        <v>1</v>
      </c>
      <c r="BI127" s="68"/>
      <c r="BJ127" s="68">
        <v>1</v>
      </c>
      <c r="BK127" s="68"/>
      <c r="BL127" s="68">
        <v>1</v>
      </c>
      <c r="BM127" s="68">
        <v>1</v>
      </c>
      <c r="BN127" s="68"/>
      <c r="BO127" s="68"/>
      <c r="BP127" s="68"/>
      <c r="BQ127" s="68"/>
      <c r="BR127" s="68">
        <v>1</v>
      </c>
      <c r="BS127" s="68"/>
      <c r="BT127" s="68"/>
    </row>
    <row r="128" spans="1:72" s="69" customFormat="1" ht="25.5" x14ac:dyDescent="0.2">
      <c r="A128" s="65">
        <v>394</v>
      </c>
      <c r="B128" s="66" t="s">
        <v>75</v>
      </c>
      <c r="C128" s="67" t="s">
        <v>210</v>
      </c>
      <c r="D128" s="67" t="s">
        <v>254</v>
      </c>
      <c r="E128" s="66" t="s">
        <v>255</v>
      </c>
      <c r="F128" s="67" t="s">
        <v>254</v>
      </c>
      <c r="G128" s="66" t="s">
        <v>258</v>
      </c>
      <c r="H128" s="67" t="s">
        <v>279</v>
      </c>
      <c r="I128" s="65" t="s">
        <v>280</v>
      </c>
      <c r="J128" s="65" t="s">
        <v>281</v>
      </c>
      <c r="K128" s="65" t="s">
        <v>281</v>
      </c>
      <c r="L128" s="65" t="s">
        <v>280</v>
      </c>
      <c r="M128" s="68">
        <f t="shared" si="53"/>
        <v>242539.2</v>
      </c>
      <c r="N128" s="68"/>
      <c r="O128" s="68"/>
      <c r="P128" s="68">
        <f>572.6+577.1+2810.7+8238.3+5774.7+37843.3+1327.8+1121.3+2067.9+2187.7+5956.1+30054.7+662.8+2950+2837.3+1319.8+2622.5+12087.8+44338.2+66999.4+3389.6+325.1+1139.1+5335.4</f>
        <v>242539.2</v>
      </c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>
        <v>1</v>
      </c>
      <c r="AD128" s="68"/>
      <c r="AE128" s="68">
        <v>1</v>
      </c>
      <c r="AF128" s="68"/>
      <c r="AG128" s="68"/>
      <c r="AH128" s="68"/>
      <c r="AI128" s="68"/>
      <c r="AJ128" s="68"/>
      <c r="AK128" s="68"/>
      <c r="AL128" s="68"/>
      <c r="AM128" s="68">
        <v>1</v>
      </c>
      <c r="AN128" s="68">
        <v>1</v>
      </c>
      <c r="AO128" s="68">
        <v>1</v>
      </c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>
        <v>1</v>
      </c>
      <c r="BH128" s="68"/>
      <c r="BI128" s="68"/>
      <c r="BJ128" s="68"/>
      <c r="BK128" s="68"/>
      <c r="BL128" s="68"/>
      <c r="BM128" s="68"/>
      <c r="BN128" s="68">
        <v>1</v>
      </c>
      <c r="BO128" s="68"/>
      <c r="BP128" s="68"/>
      <c r="BQ128" s="68"/>
      <c r="BR128" s="68"/>
      <c r="BS128" s="68"/>
      <c r="BT128" s="68"/>
    </row>
    <row r="129" spans="1:72" s="69" customFormat="1" ht="25.5" x14ac:dyDescent="0.2">
      <c r="A129" s="65">
        <v>395</v>
      </c>
      <c r="B129" s="66" t="s">
        <v>75</v>
      </c>
      <c r="C129" s="67" t="s">
        <v>211</v>
      </c>
      <c r="D129" s="67" t="s">
        <v>259</v>
      </c>
      <c r="E129" s="66" t="s">
        <v>260</v>
      </c>
      <c r="F129" s="67"/>
      <c r="G129" s="66"/>
      <c r="H129" s="67" t="s">
        <v>279</v>
      </c>
      <c r="I129" s="65" t="s">
        <v>280</v>
      </c>
      <c r="J129" s="65" t="s">
        <v>281</v>
      </c>
      <c r="K129" s="65" t="s">
        <v>281</v>
      </c>
      <c r="L129" s="65" t="s">
        <v>281</v>
      </c>
      <c r="M129" s="68">
        <f t="shared" si="53"/>
        <v>206214.24</v>
      </c>
      <c r="N129" s="68"/>
      <c r="O129" s="68"/>
      <c r="P129" s="68">
        <f>60911.24+145303</f>
        <v>206214.24</v>
      </c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>
        <v>1</v>
      </c>
      <c r="AF129" s="68">
        <v>1</v>
      </c>
      <c r="AG129" s="68">
        <v>1</v>
      </c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>
        <v>1</v>
      </c>
      <c r="BK129" s="68"/>
      <c r="BL129" s="68"/>
      <c r="BM129" s="68">
        <v>1</v>
      </c>
      <c r="BN129" s="68"/>
      <c r="BO129" s="68"/>
      <c r="BP129" s="68"/>
      <c r="BQ129" s="68"/>
      <c r="BR129" s="68"/>
      <c r="BS129" s="68">
        <v>1</v>
      </c>
      <c r="BT129" s="68"/>
    </row>
    <row r="130" spans="1:72" s="69" customFormat="1" ht="25.5" x14ac:dyDescent="0.2">
      <c r="A130" s="65">
        <v>396</v>
      </c>
      <c r="B130" s="66" t="s">
        <v>75</v>
      </c>
      <c r="C130" s="67" t="s">
        <v>212</v>
      </c>
      <c r="D130" s="67" t="s">
        <v>259</v>
      </c>
      <c r="E130" s="66" t="s">
        <v>260</v>
      </c>
      <c r="F130" s="67" t="s">
        <v>259</v>
      </c>
      <c r="G130" s="66" t="s">
        <v>262</v>
      </c>
      <c r="H130" s="67" t="s">
        <v>279</v>
      </c>
      <c r="I130" s="65" t="s">
        <v>280</v>
      </c>
      <c r="J130" s="65" t="s">
        <v>281</v>
      </c>
      <c r="K130" s="65" t="s">
        <v>281</v>
      </c>
      <c r="L130" s="65" t="s">
        <v>280</v>
      </c>
      <c r="M130" s="68">
        <f t="shared" si="53"/>
        <v>12775</v>
      </c>
      <c r="N130" s="68">
        <f>5050+3993+2187</f>
        <v>11230</v>
      </c>
      <c r="O130" s="68"/>
      <c r="P130" s="68"/>
      <c r="Q130" s="68">
        <v>1545</v>
      </c>
      <c r="R130" s="68"/>
      <c r="S130" s="68"/>
      <c r="T130" s="68"/>
      <c r="U130" s="68">
        <v>1</v>
      </c>
      <c r="V130" s="68">
        <v>1</v>
      </c>
      <c r="W130" s="68"/>
      <c r="X130" s="68"/>
      <c r="Y130" s="68"/>
      <c r="Z130" s="68">
        <v>1</v>
      </c>
      <c r="AA130" s="68"/>
      <c r="AB130" s="68">
        <v>1</v>
      </c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>
        <v>1</v>
      </c>
      <c r="BF130" s="68"/>
      <c r="BG130" s="68">
        <v>1</v>
      </c>
      <c r="BH130" s="68">
        <v>1</v>
      </c>
      <c r="BI130" s="68"/>
      <c r="BJ130" s="68">
        <v>1</v>
      </c>
      <c r="BK130" s="68">
        <v>1</v>
      </c>
      <c r="BL130" s="68">
        <v>1</v>
      </c>
      <c r="BM130" s="68">
        <v>1</v>
      </c>
      <c r="BN130" s="68"/>
      <c r="BO130" s="68"/>
      <c r="BP130" s="68"/>
      <c r="BQ130" s="68"/>
      <c r="BR130" s="68">
        <v>1</v>
      </c>
      <c r="BS130" s="68">
        <v>1</v>
      </c>
      <c r="BT130" s="68">
        <v>1</v>
      </c>
    </row>
    <row r="131" spans="1:72" ht="25.5" x14ac:dyDescent="0.2">
      <c r="A131" s="61">
        <v>397</v>
      </c>
      <c r="B131" s="62" t="s">
        <v>75</v>
      </c>
      <c r="C131" s="63" t="s">
        <v>213</v>
      </c>
      <c r="D131" s="63" t="s">
        <v>259</v>
      </c>
      <c r="E131" s="62" t="s">
        <v>260</v>
      </c>
      <c r="F131" s="63"/>
      <c r="G131" s="62"/>
      <c r="H131" s="63" t="s">
        <v>279</v>
      </c>
      <c r="I131" s="61" t="s">
        <v>280</v>
      </c>
      <c r="J131" s="61" t="s">
        <v>281</v>
      </c>
      <c r="K131" s="61" t="s">
        <v>281</v>
      </c>
      <c r="L131" s="61" t="s">
        <v>281</v>
      </c>
      <c r="M131" s="64">
        <f t="shared" si="53"/>
        <v>0</v>
      </c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</row>
    <row r="132" spans="1:72" s="69" customFormat="1" ht="25.5" x14ac:dyDescent="0.2">
      <c r="A132" s="65">
        <v>398</v>
      </c>
      <c r="B132" s="66" t="s">
        <v>79</v>
      </c>
      <c r="C132" s="67" t="s">
        <v>214</v>
      </c>
      <c r="D132" s="67" t="s">
        <v>259</v>
      </c>
      <c r="E132" s="66" t="s">
        <v>260</v>
      </c>
      <c r="F132" s="67"/>
      <c r="G132" s="66"/>
      <c r="H132" s="67" t="s">
        <v>279</v>
      </c>
      <c r="I132" s="65" t="s">
        <v>280</v>
      </c>
      <c r="J132" s="65" t="s">
        <v>281</v>
      </c>
      <c r="K132" s="65" t="s">
        <v>281</v>
      </c>
      <c r="L132" s="65" t="s">
        <v>281</v>
      </c>
      <c r="M132" s="68">
        <f t="shared" si="53"/>
        <v>0</v>
      </c>
      <c r="N132" s="68">
        <v>0</v>
      </c>
      <c r="O132" s="68">
        <v>0</v>
      </c>
      <c r="P132" s="68">
        <v>0</v>
      </c>
      <c r="Q132" s="68">
        <v>0</v>
      </c>
      <c r="R132" s="68">
        <v>0</v>
      </c>
      <c r="S132" s="68">
        <v>0</v>
      </c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>
        <v>1</v>
      </c>
      <c r="BF132" s="68"/>
      <c r="BG132" s="68"/>
      <c r="BH132" s="68"/>
      <c r="BI132" s="68"/>
      <c r="BJ132" s="68">
        <v>1</v>
      </c>
      <c r="BK132" s="68"/>
      <c r="BL132" s="68"/>
      <c r="BM132" s="68"/>
      <c r="BN132" s="68"/>
      <c r="BO132" s="68"/>
      <c r="BP132" s="68"/>
      <c r="BQ132" s="68"/>
      <c r="BR132" s="68">
        <v>1</v>
      </c>
      <c r="BS132" s="68"/>
      <c r="BT132" s="68"/>
    </row>
    <row r="133" spans="1:72" ht="25.5" x14ac:dyDescent="0.2">
      <c r="A133" s="61">
        <v>401</v>
      </c>
      <c r="B133" s="62" t="s">
        <v>75</v>
      </c>
      <c r="C133" s="63" t="s">
        <v>215</v>
      </c>
      <c r="D133" s="63" t="s">
        <v>259</v>
      </c>
      <c r="E133" s="62" t="s">
        <v>260</v>
      </c>
      <c r="F133" s="63" t="s">
        <v>259</v>
      </c>
      <c r="G133" s="62" t="s">
        <v>262</v>
      </c>
      <c r="H133" s="63" t="s">
        <v>279</v>
      </c>
      <c r="I133" s="61" t="s">
        <v>280</v>
      </c>
      <c r="J133" s="61" t="s">
        <v>281</v>
      </c>
      <c r="K133" s="61" t="s">
        <v>281</v>
      </c>
      <c r="L133" s="61" t="s">
        <v>280</v>
      </c>
      <c r="M133" s="64">
        <f t="shared" si="53"/>
        <v>0</v>
      </c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</row>
    <row r="134" spans="1:72" s="69" customFormat="1" ht="25.5" x14ac:dyDescent="0.2">
      <c r="A134" s="65">
        <v>402</v>
      </c>
      <c r="B134" s="66" t="s">
        <v>75</v>
      </c>
      <c r="C134" s="67" t="s">
        <v>216</v>
      </c>
      <c r="D134" s="67" t="s">
        <v>259</v>
      </c>
      <c r="E134" s="66" t="s">
        <v>260</v>
      </c>
      <c r="F134" s="67"/>
      <c r="G134" s="66"/>
      <c r="H134" s="67" t="s">
        <v>279</v>
      </c>
      <c r="I134" s="65" t="s">
        <v>280</v>
      </c>
      <c r="J134" s="65" t="s">
        <v>281</v>
      </c>
      <c r="K134" s="65" t="s">
        <v>281</v>
      </c>
      <c r="L134" s="65" t="s">
        <v>281</v>
      </c>
      <c r="M134" s="68">
        <f t="shared" ref="M134:M172" si="54">N134+O134+P134+Q134+R134+S134</f>
        <v>136605</v>
      </c>
      <c r="N134" s="68">
        <v>136605</v>
      </c>
      <c r="O134" s="68"/>
      <c r="P134" s="68"/>
      <c r="Q134" s="68"/>
      <c r="R134" s="68"/>
      <c r="S134" s="68"/>
      <c r="T134" s="68"/>
      <c r="U134" s="68"/>
      <c r="V134" s="68">
        <v>1</v>
      </c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>
        <v>1</v>
      </c>
      <c r="AM134" s="68">
        <v>1</v>
      </c>
      <c r="AN134" s="68"/>
      <c r="AO134" s="68"/>
      <c r="AP134" s="68">
        <v>1</v>
      </c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>
        <v>1</v>
      </c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>
        <v>1</v>
      </c>
      <c r="BT134" s="68"/>
    </row>
    <row r="135" spans="1:72" s="69" customFormat="1" ht="25.5" x14ac:dyDescent="0.2">
      <c r="A135" s="65">
        <v>405</v>
      </c>
      <c r="B135" s="66" t="s">
        <v>75</v>
      </c>
      <c r="C135" s="67" t="s">
        <v>217</v>
      </c>
      <c r="D135" s="67" t="s">
        <v>259</v>
      </c>
      <c r="E135" s="66" t="s">
        <v>260</v>
      </c>
      <c r="F135" s="67"/>
      <c r="G135" s="66"/>
      <c r="H135" s="67" t="s">
        <v>279</v>
      </c>
      <c r="I135" s="65" t="s">
        <v>280</v>
      </c>
      <c r="J135" s="65" t="s">
        <v>281</v>
      </c>
      <c r="K135" s="65" t="s">
        <v>281</v>
      </c>
      <c r="L135" s="65" t="s">
        <v>281</v>
      </c>
      <c r="M135" s="68">
        <f t="shared" si="54"/>
        <v>158125</v>
      </c>
      <c r="N135" s="68">
        <f>22855+41088+76740+112+17330</f>
        <v>158125</v>
      </c>
      <c r="O135" s="68"/>
      <c r="P135" s="68"/>
      <c r="Q135" s="68"/>
      <c r="R135" s="68"/>
      <c r="S135" s="68"/>
      <c r="T135" s="68"/>
      <c r="U135" s="68">
        <v>1</v>
      </c>
      <c r="V135" s="68">
        <v>1</v>
      </c>
      <c r="W135" s="68">
        <v>1</v>
      </c>
      <c r="X135" s="68"/>
      <c r="Y135" s="68">
        <v>1</v>
      </c>
      <c r="Z135" s="68">
        <v>1</v>
      </c>
      <c r="AA135" s="68">
        <v>1</v>
      </c>
      <c r="AB135" s="68">
        <v>1</v>
      </c>
      <c r="AC135" s="68">
        <v>1</v>
      </c>
      <c r="AD135" s="68">
        <v>1</v>
      </c>
      <c r="AE135" s="68">
        <v>1</v>
      </c>
      <c r="AF135" s="68">
        <v>1</v>
      </c>
      <c r="AG135" s="68">
        <v>1</v>
      </c>
      <c r="AH135" s="68">
        <v>1</v>
      </c>
      <c r="AI135" s="68">
        <v>1</v>
      </c>
      <c r="AJ135" s="68"/>
      <c r="AK135" s="68">
        <v>1</v>
      </c>
      <c r="AL135" s="68">
        <v>1</v>
      </c>
      <c r="AM135" s="68">
        <v>1</v>
      </c>
      <c r="AN135" s="68">
        <v>1</v>
      </c>
      <c r="AO135" s="68">
        <v>1</v>
      </c>
      <c r="AP135" s="68">
        <v>1</v>
      </c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>
        <v>1</v>
      </c>
      <c r="BC135" s="68"/>
      <c r="BD135" s="68"/>
      <c r="BE135" s="68">
        <v>1</v>
      </c>
      <c r="BF135" s="68">
        <v>1</v>
      </c>
      <c r="BG135" s="68"/>
      <c r="BH135" s="68"/>
      <c r="BI135" s="68"/>
      <c r="BJ135" s="68"/>
      <c r="BK135" s="68"/>
      <c r="BL135" s="68">
        <v>1</v>
      </c>
      <c r="BM135" s="68"/>
      <c r="BN135" s="68"/>
      <c r="BO135" s="68"/>
      <c r="BP135" s="68"/>
      <c r="BQ135" s="68"/>
      <c r="BR135" s="68">
        <v>1</v>
      </c>
      <c r="BS135" s="68"/>
      <c r="BT135" s="68">
        <v>1</v>
      </c>
    </row>
    <row r="136" spans="1:72" s="69" customFormat="1" ht="25.5" x14ac:dyDescent="0.2">
      <c r="A136" s="65">
        <v>409</v>
      </c>
      <c r="B136" s="66" t="s">
        <v>75</v>
      </c>
      <c r="C136" s="67" t="s">
        <v>218</v>
      </c>
      <c r="D136" s="67" t="s">
        <v>259</v>
      </c>
      <c r="E136" s="66" t="s">
        <v>260</v>
      </c>
      <c r="F136" s="67"/>
      <c r="G136" s="66"/>
      <c r="H136" s="67" t="s">
        <v>279</v>
      </c>
      <c r="I136" s="65" t="s">
        <v>280</v>
      </c>
      <c r="J136" s="65" t="s">
        <v>280</v>
      </c>
      <c r="K136" s="65" t="s">
        <v>281</v>
      </c>
      <c r="L136" s="65" t="s">
        <v>281</v>
      </c>
      <c r="M136" s="68">
        <f t="shared" si="54"/>
        <v>207650</v>
      </c>
      <c r="N136" s="68">
        <f>72008+4010+116352+8190+1798+4374</f>
        <v>206732</v>
      </c>
      <c r="O136" s="68">
        <v>918</v>
      </c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>
        <v>1</v>
      </c>
      <c r="AH136" s="68"/>
      <c r="AI136" s="68"/>
      <c r="AJ136" s="68"/>
      <c r="AK136" s="68"/>
      <c r="AL136" s="68">
        <v>1</v>
      </c>
      <c r="AM136" s="68">
        <v>1</v>
      </c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>
        <v>1</v>
      </c>
      <c r="BI136" s="68"/>
      <c r="BJ136" s="68"/>
      <c r="BK136" s="68"/>
      <c r="BL136" s="68"/>
      <c r="BM136" s="68"/>
      <c r="BN136" s="68"/>
      <c r="BO136" s="68"/>
      <c r="BP136" s="68"/>
      <c r="BQ136" s="68"/>
      <c r="BR136" s="68">
        <v>1</v>
      </c>
      <c r="BS136" s="68"/>
      <c r="BT136" s="68"/>
    </row>
    <row r="137" spans="1:72" ht="25.5" x14ac:dyDescent="0.2">
      <c r="A137" s="61">
        <v>410</v>
      </c>
      <c r="B137" s="62" t="s">
        <v>83</v>
      </c>
      <c r="C137" s="63" t="s">
        <v>219</v>
      </c>
      <c r="D137" s="63" t="s">
        <v>259</v>
      </c>
      <c r="E137" s="62" t="s">
        <v>260</v>
      </c>
      <c r="F137" s="63" t="s">
        <v>259</v>
      </c>
      <c r="G137" s="62" t="s">
        <v>262</v>
      </c>
      <c r="H137" s="63" t="s">
        <v>279</v>
      </c>
      <c r="I137" s="61" t="s">
        <v>280</v>
      </c>
      <c r="J137" s="61" t="s">
        <v>281</v>
      </c>
      <c r="K137" s="61" t="s">
        <v>281</v>
      </c>
      <c r="L137" s="61" t="s">
        <v>280</v>
      </c>
      <c r="M137" s="64">
        <f t="shared" si="54"/>
        <v>0</v>
      </c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</row>
    <row r="138" spans="1:72" s="69" customFormat="1" ht="25.5" x14ac:dyDescent="0.2">
      <c r="A138" s="65">
        <v>411</v>
      </c>
      <c r="B138" s="66" t="s">
        <v>75</v>
      </c>
      <c r="C138" s="67" t="s">
        <v>220</v>
      </c>
      <c r="D138" s="67" t="s">
        <v>259</v>
      </c>
      <c r="E138" s="66" t="s">
        <v>260</v>
      </c>
      <c r="F138" s="67" t="s">
        <v>259</v>
      </c>
      <c r="G138" s="66" t="s">
        <v>262</v>
      </c>
      <c r="H138" s="67" t="s">
        <v>279</v>
      </c>
      <c r="I138" s="65" t="s">
        <v>280</v>
      </c>
      <c r="J138" s="65" t="s">
        <v>281</v>
      </c>
      <c r="K138" s="65" t="s">
        <v>281</v>
      </c>
      <c r="L138" s="65" t="s">
        <v>280</v>
      </c>
      <c r="M138" s="68">
        <f t="shared" si="54"/>
        <v>0</v>
      </c>
      <c r="N138" s="68">
        <v>0</v>
      </c>
      <c r="O138" s="68">
        <v>0</v>
      </c>
      <c r="P138" s="68">
        <v>0</v>
      </c>
      <c r="Q138" s="68">
        <v>0</v>
      </c>
      <c r="R138" s="68">
        <v>0</v>
      </c>
      <c r="S138" s="68">
        <v>0</v>
      </c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>
        <v>1</v>
      </c>
      <c r="BF138" s="68"/>
      <c r="BG138" s="68">
        <v>1</v>
      </c>
      <c r="BH138" s="68">
        <v>1</v>
      </c>
      <c r="BI138" s="68"/>
      <c r="BJ138" s="68">
        <v>1</v>
      </c>
      <c r="BK138" s="68"/>
      <c r="BL138" s="68"/>
      <c r="BM138" s="68">
        <v>1</v>
      </c>
      <c r="BN138" s="68"/>
      <c r="BO138" s="68"/>
      <c r="BP138" s="68"/>
      <c r="BQ138" s="68"/>
      <c r="BR138" s="68">
        <v>1</v>
      </c>
      <c r="BS138" s="68"/>
      <c r="BT138" s="68"/>
    </row>
    <row r="139" spans="1:72" s="69" customFormat="1" ht="25.5" x14ac:dyDescent="0.2">
      <c r="A139" s="65">
        <v>412</v>
      </c>
      <c r="B139" s="66" t="s">
        <v>75</v>
      </c>
      <c r="C139" s="67" t="s">
        <v>221</v>
      </c>
      <c r="D139" s="67" t="s">
        <v>259</v>
      </c>
      <c r="E139" s="66" t="s">
        <v>260</v>
      </c>
      <c r="F139" s="67" t="s">
        <v>259</v>
      </c>
      <c r="G139" s="66" t="s">
        <v>262</v>
      </c>
      <c r="H139" s="67" t="s">
        <v>279</v>
      </c>
      <c r="I139" s="65" t="s">
        <v>280</v>
      </c>
      <c r="J139" s="65" t="s">
        <v>281</v>
      </c>
      <c r="K139" s="65" t="s">
        <v>281</v>
      </c>
      <c r="L139" s="65" t="s">
        <v>280</v>
      </c>
      <c r="M139" s="68">
        <f t="shared" si="54"/>
        <v>16163.196</v>
      </c>
      <c r="N139" s="68"/>
      <c r="O139" s="68"/>
      <c r="P139" s="68">
        <f>1757.52+212.515+3987.821+10205.34</f>
        <v>16163.196</v>
      </c>
      <c r="Q139" s="68"/>
      <c r="R139" s="68"/>
      <c r="S139" s="68"/>
      <c r="T139" s="68"/>
      <c r="U139" s="68">
        <v>1</v>
      </c>
      <c r="V139" s="68"/>
      <c r="W139" s="68"/>
      <c r="X139" s="68"/>
      <c r="Y139" s="68"/>
      <c r="Z139" s="68"/>
      <c r="AA139" s="68"/>
      <c r="AB139" s="68"/>
      <c r="AC139" s="68"/>
      <c r="AD139" s="68">
        <v>1</v>
      </c>
      <c r="AE139" s="68"/>
      <c r="AF139" s="68">
        <v>1</v>
      </c>
      <c r="AG139" s="68">
        <v>1</v>
      </c>
      <c r="AH139" s="68">
        <v>1</v>
      </c>
      <c r="AI139" s="68"/>
      <c r="AJ139" s="68"/>
      <c r="AK139" s="68">
        <v>1</v>
      </c>
      <c r="AL139" s="68">
        <v>1</v>
      </c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>
        <v>1</v>
      </c>
      <c r="BH139" s="68">
        <v>1</v>
      </c>
      <c r="BI139" s="68"/>
      <c r="BJ139" s="68"/>
      <c r="BK139" s="68"/>
      <c r="BL139" s="68"/>
      <c r="BM139" s="68">
        <v>1</v>
      </c>
      <c r="BN139" s="68"/>
      <c r="BO139" s="68"/>
      <c r="BP139" s="68"/>
      <c r="BQ139" s="68"/>
      <c r="BR139" s="68"/>
      <c r="BS139" s="68"/>
      <c r="BT139" s="68"/>
    </row>
    <row r="140" spans="1:72" s="69" customFormat="1" ht="25.5" x14ac:dyDescent="0.2">
      <c r="A140" s="65">
        <v>413</v>
      </c>
      <c r="B140" s="66" t="s">
        <v>84</v>
      </c>
      <c r="C140" s="67" t="s">
        <v>222</v>
      </c>
      <c r="D140" s="67" t="s">
        <v>259</v>
      </c>
      <c r="E140" s="66" t="s">
        <v>260</v>
      </c>
      <c r="F140" s="67" t="s">
        <v>259</v>
      </c>
      <c r="G140" s="66" t="s">
        <v>262</v>
      </c>
      <c r="H140" s="67" t="s">
        <v>279</v>
      </c>
      <c r="I140" s="65" t="s">
        <v>280</v>
      </c>
      <c r="J140" s="65" t="s">
        <v>281</v>
      </c>
      <c r="K140" s="65" t="s">
        <v>281</v>
      </c>
      <c r="L140" s="65" t="s">
        <v>280</v>
      </c>
      <c r="M140" s="68">
        <f t="shared" si="54"/>
        <v>21650.69</v>
      </c>
      <c r="N140" s="68"/>
      <c r="O140" s="68"/>
      <c r="P140" s="68"/>
      <c r="Q140" s="68"/>
      <c r="R140" s="68">
        <v>21650.69</v>
      </c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>
        <v>1</v>
      </c>
      <c r="AD140" s="68">
        <v>1</v>
      </c>
      <c r="AE140" s="68">
        <v>1</v>
      </c>
      <c r="AF140" s="68">
        <v>1</v>
      </c>
      <c r="AG140" s="68">
        <v>1</v>
      </c>
      <c r="AH140" s="68">
        <v>1</v>
      </c>
      <c r="AI140" s="68">
        <v>1</v>
      </c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>
        <v>1</v>
      </c>
      <c r="BL140" s="68"/>
      <c r="BM140" s="68"/>
      <c r="BN140" s="68"/>
      <c r="BO140" s="68"/>
      <c r="BP140" s="68"/>
      <c r="BQ140" s="68"/>
      <c r="BR140" s="68"/>
      <c r="BS140" s="68"/>
      <c r="BT140" s="68">
        <v>1</v>
      </c>
    </row>
    <row r="141" spans="1:72" s="69" customFormat="1" ht="25.5" x14ac:dyDescent="0.2">
      <c r="A141" s="65">
        <v>414</v>
      </c>
      <c r="B141" s="66" t="s">
        <v>75</v>
      </c>
      <c r="C141" s="67" t="s">
        <v>223</v>
      </c>
      <c r="D141" s="67" t="s">
        <v>259</v>
      </c>
      <c r="E141" s="66" t="s">
        <v>260</v>
      </c>
      <c r="F141" s="67" t="s">
        <v>259</v>
      </c>
      <c r="G141" s="66" t="s">
        <v>262</v>
      </c>
      <c r="H141" s="67" t="s">
        <v>279</v>
      </c>
      <c r="I141" s="65" t="s">
        <v>280</v>
      </c>
      <c r="J141" s="65" t="s">
        <v>281</v>
      </c>
      <c r="K141" s="65" t="s">
        <v>281</v>
      </c>
      <c r="L141" s="65" t="s">
        <v>280</v>
      </c>
      <c r="M141" s="68">
        <f t="shared" si="54"/>
        <v>213119.71</v>
      </c>
      <c r="N141" s="68">
        <f>4476.6+9613+9900+8223.87+14513.11+6990.6+21120+12000+15660.3+20030.8+3557.5+6283.33+1060+8433.6+56258+14999</f>
        <v>213119.71</v>
      </c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>
        <v>1</v>
      </c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>
        <v>1</v>
      </c>
      <c r="BI141" s="68"/>
      <c r="BJ141" s="68"/>
      <c r="BK141" s="68"/>
      <c r="BL141" s="68"/>
      <c r="BM141" s="68"/>
      <c r="BN141" s="68"/>
      <c r="BO141" s="68"/>
      <c r="BP141" s="68"/>
      <c r="BQ141" s="68"/>
      <c r="BR141" s="68">
        <v>1</v>
      </c>
      <c r="BS141" s="68"/>
      <c r="BT141" s="68"/>
    </row>
    <row r="142" spans="1:72" s="69" customFormat="1" ht="25.5" x14ac:dyDescent="0.2">
      <c r="A142" s="65">
        <v>415</v>
      </c>
      <c r="B142" s="66" t="s">
        <v>75</v>
      </c>
      <c r="C142" s="67" t="s">
        <v>224</v>
      </c>
      <c r="D142" s="67" t="s">
        <v>259</v>
      </c>
      <c r="E142" s="66" t="s">
        <v>260</v>
      </c>
      <c r="F142" s="67" t="s">
        <v>259</v>
      </c>
      <c r="G142" s="66" t="s">
        <v>262</v>
      </c>
      <c r="H142" s="67" t="s">
        <v>279</v>
      </c>
      <c r="I142" s="65" t="s">
        <v>280</v>
      </c>
      <c r="J142" s="65" t="s">
        <v>281</v>
      </c>
      <c r="K142" s="65" t="s">
        <v>281</v>
      </c>
      <c r="L142" s="65" t="s">
        <v>280</v>
      </c>
      <c r="M142" s="68">
        <f t="shared" si="54"/>
        <v>0</v>
      </c>
      <c r="N142" s="68">
        <v>0</v>
      </c>
      <c r="O142" s="68">
        <v>0</v>
      </c>
      <c r="P142" s="68">
        <v>0</v>
      </c>
      <c r="Q142" s="68">
        <v>0</v>
      </c>
      <c r="R142" s="68">
        <v>0</v>
      </c>
      <c r="S142" s="68">
        <v>0</v>
      </c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>
        <v>1</v>
      </c>
      <c r="BH142" s="68">
        <v>1</v>
      </c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>
        <v>1</v>
      </c>
    </row>
    <row r="143" spans="1:72" ht="25.5" x14ac:dyDescent="0.2">
      <c r="A143" s="61">
        <v>416</v>
      </c>
      <c r="B143" s="62" t="s">
        <v>75</v>
      </c>
      <c r="C143" s="63" t="s">
        <v>225</v>
      </c>
      <c r="D143" s="63" t="s">
        <v>259</v>
      </c>
      <c r="E143" s="62" t="s">
        <v>260</v>
      </c>
      <c r="F143" s="63" t="s">
        <v>259</v>
      </c>
      <c r="G143" s="62" t="s">
        <v>262</v>
      </c>
      <c r="H143" s="63" t="s">
        <v>279</v>
      </c>
      <c r="I143" s="61" t="s">
        <v>280</v>
      </c>
      <c r="J143" s="61" t="s">
        <v>281</v>
      </c>
      <c r="K143" s="61" t="s">
        <v>281</v>
      </c>
      <c r="L143" s="61" t="s">
        <v>280</v>
      </c>
      <c r="M143" s="64">
        <f t="shared" si="54"/>
        <v>0</v>
      </c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4"/>
      <c r="BR143" s="64"/>
      <c r="BS143" s="64"/>
      <c r="BT143" s="64"/>
    </row>
    <row r="144" spans="1:72" s="69" customFormat="1" ht="25.5" x14ac:dyDescent="0.2">
      <c r="A144" s="65">
        <v>417</v>
      </c>
      <c r="B144" s="66" t="s">
        <v>79</v>
      </c>
      <c r="C144" s="67" t="s">
        <v>226</v>
      </c>
      <c r="D144" s="67" t="s">
        <v>256</v>
      </c>
      <c r="E144" s="66" t="s">
        <v>268</v>
      </c>
      <c r="F144" s="67" t="s">
        <v>256</v>
      </c>
      <c r="G144" s="66" t="s">
        <v>257</v>
      </c>
      <c r="H144" s="67" t="s">
        <v>279</v>
      </c>
      <c r="I144" s="65" t="s">
        <v>280</v>
      </c>
      <c r="J144" s="65" t="s">
        <v>281</v>
      </c>
      <c r="K144" s="65" t="s">
        <v>281</v>
      </c>
      <c r="L144" s="65" t="s">
        <v>280</v>
      </c>
      <c r="M144" s="68">
        <f t="shared" si="54"/>
        <v>309749.22010999999</v>
      </c>
      <c r="N144" s="68">
        <v>309749.22010999999</v>
      </c>
      <c r="O144" s="68"/>
      <c r="P144" s="68"/>
      <c r="Q144" s="68"/>
      <c r="R144" s="68"/>
      <c r="S144" s="68"/>
      <c r="T144" s="68"/>
      <c r="U144" s="68">
        <v>1</v>
      </c>
      <c r="V144" s="68">
        <v>1</v>
      </c>
      <c r="W144" s="68">
        <v>1</v>
      </c>
      <c r="X144" s="68">
        <v>1</v>
      </c>
      <c r="Y144" s="68">
        <v>1</v>
      </c>
      <c r="Z144" s="68">
        <v>1</v>
      </c>
      <c r="AA144" s="68">
        <v>1</v>
      </c>
      <c r="AB144" s="68">
        <v>1</v>
      </c>
      <c r="AC144" s="68">
        <v>1</v>
      </c>
      <c r="AD144" s="68">
        <v>1</v>
      </c>
      <c r="AE144" s="68">
        <v>1</v>
      </c>
      <c r="AF144" s="68">
        <v>1</v>
      </c>
      <c r="AG144" s="68">
        <v>1</v>
      </c>
      <c r="AH144" s="68">
        <v>1</v>
      </c>
      <c r="AI144" s="68">
        <v>1</v>
      </c>
      <c r="AJ144" s="68">
        <v>1</v>
      </c>
      <c r="AK144" s="68">
        <v>1</v>
      </c>
      <c r="AL144" s="68"/>
      <c r="AM144" s="68">
        <v>1</v>
      </c>
      <c r="AN144" s="68"/>
      <c r="AO144" s="68"/>
      <c r="AP144" s="68">
        <v>1</v>
      </c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>
        <v>1</v>
      </c>
      <c r="BI144" s="68"/>
      <c r="BJ144" s="68"/>
      <c r="BK144" s="68"/>
      <c r="BL144" s="68"/>
      <c r="BM144" s="68">
        <v>1</v>
      </c>
      <c r="BN144" s="68"/>
      <c r="BO144" s="68"/>
      <c r="BP144" s="68"/>
      <c r="BQ144" s="68"/>
      <c r="BR144" s="68"/>
      <c r="BS144" s="68"/>
      <c r="BT144" s="68"/>
    </row>
    <row r="145" spans="1:72" s="69" customFormat="1" ht="25.5" x14ac:dyDescent="0.2">
      <c r="A145" s="65">
        <v>418</v>
      </c>
      <c r="B145" s="66" t="s">
        <v>75</v>
      </c>
      <c r="C145" s="67" t="s">
        <v>227</v>
      </c>
      <c r="D145" s="67" t="s">
        <v>259</v>
      </c>
      <c r="E145" s="66" t="s">
        <v>260</v>
      </c>
      <c r="F145" s="67" t="s">
        <v>259</v>
      </c>
      <c r="G145" s="66" t="s">
        <v>262</v>
      </c>
      <c r="H145" s="67" t="s">
        <v>279</v>
      </c>
      <c r="I145" s="65" t="s">
        <v>280</v>
      </c>
      <c r="J145" s="65" t="s">
        <v>281</v>
      </c>
      <c r="K145" s="65" t="s">
        <v>281</v>
      </c>
      <c r="L145" s="65" t="s">
        <v>280</v>
      </c>
      <c r="M145" s="68">
        <f t="shared" si="54"/>
        <v>1791</v>
      </c>
      <c r="N145" s="68"/>
      <c r="O145" s="68"/>
      <c r="P145" s="68">
        <f>211+291+599+279+411</f>
        <v>1791</v>
      </c>
      <c r="Q145" s="68"/>
      <c r="R145" s="68"/>
      <c r="S145" s="68"/>
      <c r="T145" s="68"/>
      <c r="U145" s="68">
        <v>1</v>
      </c>
      <c r="V145" s="68">
        <v>1</v>
      </c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>
        <v>1</v>
      </c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>
        <v>1</v>
      </c>
      <c r="BH145" s="68"/>
      <c r="BI145" s="68"/>
      <c r="BJ145" s="68">
        <v>1</v>
      </c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</row>
    <row r="146" spans="1:72" ht="25.5" x14ac:dyDescent="0.2">
      <c r="A146" s="61">
        <v>419</v>
      </c>
      <c r="B146" s="62" t="s">
        <v>75</v>
      </c>
      <c r="C146" s="63" t="s">
        <v>228</v>
      </c>
      <c r="D146" s="63" t="s">
        <v>254</v>
      </c>
      <c r="E146" s="62" t="s">
        <v>255</v>
      </c>
      <c r="F146" s="63"/>
      <c r="G146" s="62"/>
      <c r="H146" s="63" t="s">
        <v>279</v>
      </c>
      <c r="I146" s="61" t="s">
        <v>280</v>
      </c>
      <c r="J146" s="61" t="s">
        <v>281</v>
      </c>
      <c r="K146" s="61" t="s">
        <v>281</v>
      </c>
      <c r="L146" s="61" t="s">
        <v>281</v>
      </c>
      <c r="M146" s="64">
        <f t="shared" si="54"/>
        <v>0</v>
      </c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</row>
    <row r="147" spans="1:72" s="69" customFormat="1" ht="25.5" x14ac:dyDescent="0.2">
      <c r="A147" s="65">
        <v>420</v>
      </c>
      <c r="B147" s="66" t="s">
        <v>75</v>
      </c>
      <c r="C147" s="67" t="s">
        <v>229</v>
      </c>
      <c r="D147" s="67" t="s">
        <v>259</v>
      </c>
      <c r="E147" s="66" t="s">
        <v>260</v>
      </c>
      <c r="F147" s="67"/>
      <c r="G147" s="66"/>
      <c r="H147" s="67" t="s">
        <v>279</v>
      </c>
      <c r="I147" s="65" t="s">
        <v>280</v>
      </c>
      <c r="J147" s="65" t="s">
        <v>281</v>
      </c>
      <c r="K147" s="65" t="s">
        <v>281</v>
      </c>
      <c r="L147" s="65" t="s">
        <v>281</v>
      </c>
      <c r="M147" s="68">
        <f t="shared" si="54"/>
        <v>162269.16400000005</v>
      </c>
      <c r="N147" s="68">
        <f>1063.928+65483.033+1060.735+5184.183+49534.038+216.668+180+809.562+158.007+5804.178+1713.744+12265.469+18795.619</f>
        <v>162269.16400000005</v>
      </c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>
        <v>1</v>
      </c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>
        <v>1</v>
      </c>
      <c r="BI147" s="68"/>
      <c r="BJ147" s="68"/>
      <c r="BK147" s="68"/>
      <c r="BL147" s="68">
        <v>1</v>
      </c>
      <c r="BM147" s="68"/>
      <c r="BN147" s="68"/>
      <c r="BO147" s="68"/>
      <c r="BP147" s="68"/>
      <c r="BQ147" s="68"/>
      <c r="BR147" s="68"/>
      <c r="BS147" s="68"/>
      <c r="BT147" s="68"/>
    </row>
    <row r="148" spans="1:72" ht="25.5" x14ac:dyDescent="0.2">
      <c r="A148" s="61">
        <v>421</v>
      </c>
      <c r="B148" s="62" t="s">
        <v>86</v>
      </c>
      <c r="C148" s="63" t="s">
        <v>230</v>
      </c>
      <c r="D148" s="63" t="s">
        <v>259</v>
      </c>
      <c r="E148" s="62" t="s">
        <v>260</v>
      </c>
      <c r="F148" s="63" t="s">
        <v>259</v>
      </c>
      <c r="G148" s="62" t="s">
        <v>262</v>
      </c>
      <c r="H148" s="63" t="s">
        <v>279</v>
      </c>
      <c r="I148" s="61" t="s">
        <v>280</v>
      </c>
      <c r="J148" s="61" t="s">
        <v>281</v>
      </c>
      <c r="K148" s="61" t="s">
        <v>281</v>
      </c>
      <c r="L148" s="61" t="s">
        <v>280</v>
      </c>
      <c r="M148" s="64">
        <f t="shared" si="54"/>
        <v>0</v>
      </c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</row>
    <row r="149" spans="1:72" s="69" customFormat="1" ht="25.5" x14ac:dyDescent="0.2">
      <c r="A149" s="65">
        <v>422</v>
      </c>
      <c r="B149" s="66" t="s">
        <v>75</v>
      </c>
      <c r="C149" s="67" t="s">
        <v>231</v>
      </c>
      <c r="D149" s="67" t="s">
        <v>256</v>
      </c>
      <c r="E149" s="66" t="s">
        <v>268</v>
      </c>
      <c r="F149" s="67"/>
      <c r="G149" s="66"/>
      <c r="H149" s="67" t="s">
        <v>279</v>
      </c>
      <c r="I149" s="65" t="s">
        <v>280</v>
      </c>
      <c r="J149" s="65" t="s">
        <v>281</v>
      </c>
      <c r="K149" s="65" t="s">
        <v>281</v>
      </c>
      <c r="L149" s="65" t="s">
        <v>281</v>
      </c>
      <c r="M149" s="68">
        <f t="shared" si="54"/>
        <v>371186.69999999995</v>
      </c>
      <c r="N149" s="68">
        <f>239822.4+131364.3</f>
        <v>371186.69999999995</v>
      </c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>
        <v>1</v>
      </c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>
        <v>1</v>
      </c>
      <c r="BH149" s="68"/>
      <c r="BI149" s="68"/>
      <c r="BJ149" s="68"/>
      <c r="BK149" s="68"/>
      <c r="BL149" s="68">
        <v>1</v>
      </c>
      <c r="BM149" s="68"/>
      <c r="BN149" s="68"/>
      <c r="BO149" s="68"/>
      <c r="BP149" s="68"/>
      <c r="BQ149" s="68"/>
      <c r="BR149" s="68"/>
      <c r="BS149" s="68">
        <v>1</v>
      </c>
      <c r="BT149" s="68"/>
    </row>
    <row r="150" spans="1:72" ht="25.5" x14ac:dyDescent="0.2">
      <c r="A150" s="61">
        <v>423</v>
      </c>
      <c r="B150" s="62" t="s">
        <v>75</v>
      </c>
      <c r="C150" s="63" t="s">
        <v>232</v>
      </c>
      <c r="D150" s="63" t="s">
        <v>259</v>
      </c>
      <c r="E150" s="62" t="s">
        <v>260</v>
      </c>
      <c r="F150" s="63" t="s">
        <v>259</v>
      </c>
      <c r="G150" s="62" t="s">
        <v>262</v>
      </c>
      <c r="H150" s="63" t="s">
        <v>279</v>
      </c>
      <c r="I150" s="61" t="s">
        <v>280</v>
      </c>
      <c r="J150" s="61" t="s">
        <v>281</v>
      </c>
      <c r="K150" s="61" t="s">
        <v>281</v>
      </c>
      <c r="L150" s="61" t="s">
        <v>280</v>
      </c>
      <c r="M150" s="64">
        <f t="shared" si="54"/>
        <v>0</v>
      </c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</row>
    <row r="151" spans="1:72" s="69" customFormat="1" ht="25.5" x14ac:dyDescent="0.2">
      <c r="A151" s="65">
        <v>424</v>
      </c>
      <c r="B151" s="66" t="s">
        <v>85</v>
      </c>
      <c r="C151" s="67" t="s">
        <v>233</v>
      </c>
      <c r="D151" s="67" t="s">
        <v>259</v>
      </c>
      <c r="E151" s="66" t="s">
        <v>260</v>
      </c>
      <c r="F151" s="67"/>
      <c r="G151" s="66"/>
      <c r="H151" s="67" t="s">
        <v>279</v>
      </c>
      <c r="I151" s="65" t="s">
        <v>280</v>
      </c>
      <c r="J151" s="65" t="s">
        <v>281</v>
      </c>
      <c r="K151" s="65" t="s">
        <v>281</v>
      </c>
      <c r="L151" s="65" t="s">
        <v>281</v>
      </c>
      <c r="M151" s="68">
        <f t="shared" si="54"/>
        <v>250668.4</v>
      </c>
      <c r="N151" s="68"/>
      <c r="O151" s="68"/>
      <c r="P151" s="68"/>
      <c r="Q151" s="68"/>
      <c r="R151" s="68">
        <v>250668.4</v>
      </c>
      <c r="S151" s="68"/>
      <c r="T151" s="68"/>
      <c r="U151" s="68"/>
      <c r="V151" s="68">
        <v>1</v>
      </c>
      <c r="W151" s="68"/>
      <c r="X151" s="68"/>
      <c r="Y151" s="68">
        <v>1</v>
      </c>
      <c r="Z151" s="68">
        <v>1</v>
      </c>
      <c r="AA151" s="68">
        <v>1</v>
      </c>
      <c r="AB151" s="68">
        <v>1</v>
      </c>
      <c r="AC151" s="68">
        <v>1</v>
      </c>
      <c r="AD151" s="68"/>
      <c r="AE151" s="68"/>
      <c r="AF151" s="68"/>
      <c r="AG151" s="68"/>
      <c r="AH151" s="68"/>
      <c r="AI151" s="68"/>
      <c r="AJ151" s="68"/>
      <c r="AK151" s="68">
        <v>1</v>
      </c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</row>
    <row r="152" spans="1:72" s="69" customFormat="1" ht="25.5" x14ac:dyDescent="0.2">
      <c r="A152" s="65">
        <v>425</v>
      </c>
      <c r="B152" s="66" t="s">
        <v>75</v>
      </c>
      <c r="C152" s="67" t="s">
        <v>234</v>
      </c>
      <c r="D152" s="67" t="s">
        <v>259</v>
      </c>
      <c r="E152" s="66" t="s">
        <v>260</v>
      </c>
      <c r="F152" s="67"/>
      <c r="G152" s="66"/>
      <c r="H152" s="67" t="s">
        <v>279</v>
      </c>
      <c r="I152" s="65" t="s">
        <v>280</v>
      </c>
      <c r="J152" s="65" t="s">
        <v>281</v>
      </c>
      <c r="K152" s="65" t="s">
        <v>281</v>
      </c>
      <c r="L152" s="65" t="s">
        <v>281</v>
      </c>
      <c r="M152" s="68">
        <f t="shared" si="54"/>
        <v>240000</v>
      </c>
      <c r="N152" s="68">
        <f>60000+60000+60000+60000</f>
        <v>240000</v>
      </c>
      <c r="O152" s="68"/>
      <c r="P152" s="68"/>
      <c r="Q152" s="68"/>
      <c r="R152" s="68"/>
      <c r="S152" s="68"/>
      <c r="T152" s="68"/>
      <c r="U152" s="68">
        <v>1</v>
      </c>
      <c r="V152" s="68">
        <v>1</v>
      </c>
      <c r="W152" s="68">
        <v>1</v>
      </c>
      <c r="X152" s="68">
        <v>1</v>
      </c>
      <c r="Y152" s="68">
        <v>1</v>
      </c>
      <c r="Z152" s="68">
        <v>1</v>
      </c>
      <c r="AA152" s="68">
        <v>1</v>
      </c>
      <c r="AB152" s="68">
        <v>1</v>
      </c>
      <c r="AC152" s="68">
        <v>1</v>
      </c>
      <c r="AD152" s="68">
        <v>1</v>
      </c>
      <c r="AE152" s="68">
        <v>1</v>
      </c>
      <c r="AF152" s="68">
        <v>1</v>
      </c>
      <c r="AG152" s="68">
        <v>1</v>
      </c>
      <c r="AH152" s="68">
        <v>1</v>
      </c>
      <c r="AI152" s="68">
        <v>1</v>
      </c>
      <c r="AJ152" s="68">
        <v>1</v>
      </c>
      <c r="AK152" s="68">
        <v>1</v>
      </c>
      <c r="AL152" s="68">
        <v>1</v>
      </c>
      <c r="AM152" s="68">
        <v>1</v>
      </c>
      <c r="AN152" s="68">
        <v>1</v>
      </c>
      <c r="AO152" s="68">
        <v>1</v>
      </c>
      <c r="AP152" s="68">
        <v>1</v>
      </c>
      <c r="AQ152" s="68">
        <v>1</v>
      </c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>
        <v>1</v>
      </c>
      <c r="BC152" s="68"/>
      <c r="BD152" s="68"/>
      <c r="BE152" s="68"/>
      <c r="BF152" s="68"/>
      <c r="BG152" s="68">
        <v>1</v>
      </c>
      <c r="BH152" s="68"/>
      <c r="BI152" s="68"/>
      <c r="BJ152" s="68"/>
      <c r="BK152" s="68"/>
      <c r="BL152" s="68">
        <v>1</v>
      </c>
      <c r="BM152" s="68"/>
      <c r="BN152" s="68">
        <v>1</v>
      </c>
      <c r="BO152" s="68"/>
      <c r="BP152" s="68"/>
      <c r="BQ152" s="68"/>
      <c r="BR152" s="68"/>
      <c r="BS152" s="68">
        <v>1</v>
      </c>
      <c r="BT152" s="68"/>
    </row>
    <row r="153" spans="1:72" s="69" customFormat="1" ht="25.5" x14ac:dyDescent="0.2">
      <c r="A153" s="65">
        <v>426</v>
      </c>
      <c r="B153" s="66" t="s">
        <v>75</v>
      </c>
      <c r="C153" s="67" t="s">
        <v>235</v>
      </c>
      <c r="D153" s="67" t="s">
        <v>259</v>
      </c>
      <c r="E153" s="66" t="s">
        <v>260</v>
      </c>
      <c r="F153" s="67" t="s">
        <v>259</v>
      </c>
      <c r="G153" s="66" t="s">
        <v>262</v>
      </c>
      <c r="H153" s="67" t="s">
        <v>279</v>
      </c>
      <c r="I153" s="65" t="s">
        <v>280</v>
      </c>
      <c r="J153" s="65" t="s">
        <v>280</v>
      </c>
      <c r="K153" s="65" t="s">
        <v>281</v>
      </c>
      <c r="L153" s="65" t="s">
        <v>280</v>
      </c>
      <c r="M153" s="68">
        <f t="shared" si="54"/>
        <v>9237</v>
      </c>
      <c r="N153" s="68"/>
      <c r="O153" s="68"/>
      <c r="P153" s="68">
        <v>9237</v>
      </c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>
        <v>1</v>
      </c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>
        <v>1</v>
      </c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>
        <v>1</v>
      </c>
    </row>
    <row r="154" spans="1:72" s="69" customFormat="1" ht="25.5" x14ac:dyDescent="0.2">
      <c r="A154" s="65">
        <v>428</v>
      </c>
      <c r="B154" s="66" t="s">
        <v>75</v>
      </c>
      <c r="C154" s="67" t="s">
        <v>236</v>
      </c>
      <c r="D154" s="67" t="s">
        <v>259</v>
      </c>
      <c r="E154" s="66" t="s">
        <v>260</v>
      </c>
      <c r="F154" s="67" t="s">
        <v>259</v>
      </c>
      <c r="G154" s="66" t="s">
        <v>262</v>
      </c>
      <c r="H154" s="67" t="s">
        <v>279</v>
      </c>
      <c r="I154" s="65" t="s">
        <v>280</v>
      </c>
      <c r="J154" s="65" t="s">
        <v>281</v>
      </c>
      <c r="K154" s="65" t="s">
        <v>281</v>
      </c>
      <c r="L154" s="65" t="s">
        <v>280</v>
      </c>
      <c r="M154" s="68">
        <f t="shared" si="54"/>
        <v>21094.0308</v>
      </c>
      <c r="N154" s="68">
        <f>5345.8524+5151.0072+1502.6712+3445.5528+1484.99+658.9872+3504.97</f>
        <v>21094.0308</v>
      </c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>
        <v>1</v>
      </c>
      <c r="AI154" s="68"/>
      <c r="AJ154" s="68"/>
      <c r="AK154" s="68">
        <v>1</v>
      </c>
      <c r="AL154" s="68">
        <v>1</v>
      </c>
      <c r="AM154" s="68"/>
      <c r="AN154" s="68"/>
      <c r="AO154" s="68"/>
      <c r="AP154" s="68">
        <v>1</v>
      </c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>
        <v>1</v>
      </c>
      <c r="BI154" s="68"/>
      <c r="BJ154" s="68"/>
      <c r="BK154" s="68"/>
      <c r="BL154" s="68"/>
      <c r="BM154" s="68">
        <v>1</v>
      </c>
      <c r="BN154" s="68">
        <v>1</v>
      </c>
      <c r="BO154" s="68"/>
      <c r="BP154" s="68"/>
      <c r="BQ154" s="68"/>
      <c r="BR154" s="68">
        <v>1</v>
      </c>
      <c r="BS154" s="68"/>
      <c r="BT154" s="68"/>
    </row>
    <row r="155" spans="1:72" s="69" customFormat="1" ht="25.5" x14ac:dyDescent="0.2">
      <c r="A155" s="65">
        <v>429</v>
      </c>
      <c r="B155" s="66" t="s">
        <v>75</v>
      </c>
      <c r="C155" s="67" t="s">
        <v>215</v>
      </c>
      <c r="D155" s="67" t="s">
        <v>259</v>
      </c>
      <c r="E155" s="66" t="s">
        <v>260</v>
      </c>
      <c r="F155" s="67" t="s">
        <v>259</v>
      </c>
      <c r="G155" s="66" t="s">
        <v>262</v>
      </c>
      <c r="H155" s="67" t="s">
        <v>279</v>
      </c>
      <c r="I155" s="65" t="s">
        <v>280</v>
      </c>
      <c r="J155" s="65" t="s">
        <v>281</v>
      </c>
      <c r="K155" s="65" t="s">
        <v>281</v>
      </c>
      <c r="L155" s="65" t="s">
        <v>280</v>
      </c>
      <c r="M155" s="68">
        <f t="shared" si="54"/>
        <v>25929.718000000001</v>
      </c>
      <c r="N155" s="68"/>
      <c r="O155" s="68"/>
      <c r="P155" s="68">
        <f>7022+2538+2132.861+4049+2483.745+4725.112+2979</f>
        <v>25929.718000000001</v>
      </c>
      <c r="Q155" s="68"/>
      <c r="R155" s="68"/>
      <c r="S155" s="68"/>
      <c r="T155" s="68"/>
      <c r="U155" s="68">
        <v>1</v>
      </c>
      <c r="V155" s="68">
        <v>1</v>
      </c>
      <c r="W155" s="68"/>
      <c r="X155" s="68"/>
      <c r="Y155" s="68"/>
      <c r="Z155" s="68">
        <v>1</v>
      </c>
      <c r="AA155" s="68"/>
      <c r="AB155" s="68"/>
      <c r="AC155" s="68">
        <v>1</v>
      </c>
      <c r="AD155" s="68"/>
      <c r="AE155" s="68">
        <v>1</v>
      </c>
      <c r="AF155" s="68">
        <v>1</v>
      </c>
      <c r="AG155" s="68">
        <v>1</v>
      </c>
      <c r="AH155" s="68"/>
      <c r="AI155" s="68">
        <v>1</v>
      </c>
      <c r="AJ155" s="68"/>
      <c r="AK155" s="68">
        <v>1</v>
      </c>
      <c r="AL155" s="68">
        <v>1</v>
      </c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>
        <v>1</v>
      </c>
      <c r="BC155" s="68"/>
      <c r="BD155" s="68"/>
      <c r="BE155" s="68"/>
      <c r="BF155" s="68"/>
      <c r="BG155" s="68">
        <v>1</v>
      </c>
      <c r="BH155" s="68">
        <v>1</v>
      </c>
      <c r="BI155" s="68"/>
      <c r="BJ155" s="68">
        <v>1</v>
      </c>
      <c r="BK155" s="68"/>
      <c r="BL155" s="68"/>
      <c r="BM155" s="68">
        <v>1</v>
      </c>
      <c r="BN155" s="68"/>
      <c r="BO155" s="68"/>
      <c r="BP155" s="68"/>
      <c r="BQ155" s="68"/>
      <c r="BR155" s="68"/>
      <c r="BS155" s="68"/>
      <c r="BT155" s="68"/>
    </row>
    <row r="156" spans="1:72" s="69" customFormat="1" ht="25.5" x14ac:dyDescent="0.2">
      <c r="A156" s="65">
        <v>430</v>
      </c>
      <c r="B156" s="66" t="s">
        <v>75</v>
      </c>
      <c r="C156" s="67" t="s">
        <v>237</v>
      </c>
      <c r="D156" s="67" t="s">
        <v>259</v>
      </c>
      <c r="E156" s="66" t="s">
        <v>260</v>
      </c>
      <c r="F156" s="67"/>
      <c r="G156" s="66"/>
      <c r="H156" s="67" t="s">
        <v>279</v>
      </c>
      <c r="I156" s="65" t="s">
        <v>280</v>
      </c>
      <c r="J156" s="65" t="s">
        <v>280</v>
      </c>
      <c r="K156" s="65" t="s">
        <v>281</v>
      </c>
      <c r="L156" s="65" t="s">
        <v>281</v>
      </c>
      <c r="M156" s="68">
        <f t="shared" si="54"/>
        <v>33468</v>
      </c>
      <c r="N156" s="68">
        <f>4895+8200+4851+3166+5800+1256+5300</f>
        <v>33468</v>
      </c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>
        <v>1</v>
      </c>
      <c r="AH156" s="68"/>
      <c r="AI156" s="68"/>
      <c r="AJ156" s="68"/>
      <c r="AK156" s="68">
        <v>1</v>
      </c>
      <c r="AL156" s="68">
        <v>1</v>
      </c>
      <c r="AM156" s="68">
        <v>1</v>
      </c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>
        <v>1</v>
      </c>
      <c r="BH156" s="68">
        <v>1</v>
      </c>
      <c r="BI156" s="68"/>
      <c r="BJ156" s="68"/>
      <c r="BK156" s="68"/>
      <c r="BL156" s="68"/>
      <c r="BM156" s="68"/>
      <c r="BN156" s="68"/>
      <c r="BO156" s="68"/>
      <c r="BP156" s="68"/>
      <c r="BQ156" s="68"/>
      <c r="BR156" s="68">
        <v>1</v>
      </c>
      <c r="BS156" s="68">
        <v>1</v>
      </c>
      <c r="BT156" s="68"/>
    </row>
    <row r="157" spans="1:72" ht="25.5" x14ac:dyDescent="0.2">
      <c r="A157" s="61">
        <v>431</v>
      </c>
      <c r="B157" s="62" t="s">
        <v>75</v>
      </c>
      <c r="C157" s="63" t="s">
        <v>238</v>
      </c>
      <c r="D157" s="63" t="s">
        <v>259</v>
      </c>
      <c r="E157" s="62" t="s">
        <v>260</v>
      </c>
      <c r="F157" s="63"/>
      <c r="G157" s="62"/>
      <c r="H157" s="63" t="s">
        <v>279</v>
      </c>
      <c r="I157" s="61" t="s">
        <v>280</v>
      </c>
      <c r="J157" s="61" t="s">
        <v>281</v>
      </c>
      <c r="K157" s="61" t="s">
        <v>281</v>
      </c>
      <c r="L157" s="61" t="s">
        <v>281</v>
      </c>
      <c r="M157" s="64">
        <f t="shared" si="54"/>
        <v>0</v>
      </c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</row>
    <row r="158" spans="1:72" s="69" customFormat="1" ht="25.5" x14ac:dyDescent="0.2">
      <c r="A158" s="65">
        <v>432</v>
      </c>
      <c r="B158" s="66" t="s">
        <v>75</v>
      </c>
      <c r="C158" s="67" t="s">
        <v>239</v>
      </c>
      <c r="D158" s="67" t="s">
        <v>259</v>
      </c>
      <c r="E158" s="66" t="s">
        <v>260</v>
      </c>
      <c r="F158" s="67" t="s">
        <v>259</v>
      </c>
      <c r="G158" s="66" t="s">
        <v>262</v>
      </c>
      <c r="H158" s="67" t="s">
        <v>279</v>
      </c>
      <c r="I158" s="65" t="s">
        <v>280</v>
      </c>
      <c r="J158" s="65" t="s">
        <v>281</v>
      </c>
      <c r="K158" s="65" t="s">
        <v>281</v>
      </c>
      <c r="L158" s="65" t="s">
        <v>280</v>
      </c>
      <c r="M158" s="68">
        <f t="shared" si="54"/>
        <v>58176.69597999999</v>
      </c>
      <c r="N158" s="68">
        <f>10129.104+35357.5349799999+4000.647+8689.41</f>
        <v>58176.69597999999</v>
      </c>
      <c r="O158" s="68"/>
      <c r="P158" s="68"/>
      <c r="Q158" s="68"/>
      <c r="R158" s="68"/>
      <c r="S158" s="68"/>
      <c r="T158" s="68"/>
      <c r="U158" s="68">
        <v>1</v>
      </c>
      <c r="V158" s="68">
        <v>1</v>
      </c>
      <c r="W158" s="68">
        <v>1</v>
      </c>
      <c r="X158" s="68"/>
      <c r="Y158" s="68"/>
      <c r="Z158" s="68">
        <v>1</v>
      </c>
      <c r="AA158" s="68">
        <v>1</v>
      </c>
      <c r="AB158" s="68">
        <v>1</v>
      </c>
      <c r="AC158" s="68">
        <v>1</v>
      </c>
      <c r="AD158" s="68">
        <v>1</v>
      </c>
      <c r="AE158" s="68">
        <v>1</v>
      </c>
      <c r="AF158" s="68"/>
      <c r="AG158" s="68">
        <v>1</v>
      </c>
      <c r="AH158" s="68"/>
      <c r="AI158" s="68">
        <v>1</v>
      </c>
      <c r="AJ158" s="68">
        <v>1</v>
      </c>
      <c r="AK158" s="68">
        <v>1</v>
      </c>
      <c r="AL158" s="68">
        <v>1</v>
      </c>
      <c r="AM158" s="68"/>
      <c r="AN158" s="68">
        <v>1</v>
      </c>
      <c r="AO158" s="68">
        <v>1</v>
      </c>
      <c r="AP158" s="68">
        <v>1</v>
      </c>
      <c r="AQ158" s="68"/>
      <c r="AR158" s="68">
        <v>1</v>
      </c>
      <c r="AS158" s="68">
        <v>1</v>
      </c>
      <c r="AT158" s="68"/>
      <c r="AU158" s="68">
        <v>1</v>
      </c>
      <c r="AV158" s="68"/>
      <c r="AW158" s="68"/>
      <c r="AX158" s="68"/>
      <c r="AY158" s="68"/>
      <c r="AZ158" s="68"/>
      <c r="BA158" s="68">
        <v>1</v>
      </c>
      <c r="BB158" s="68"/>
      <c r="BC158" s="68"/>
      <c r="BD158" s="68"/>
      <c r="BE158" s="68"/>
      <c r="BF158" s="68"/>
      <c r="BG158" s="68">
        <v>1</v>
      </c>
      <c r="BH158" s="68">
        <v>1</v>
      </c>
      <c r="BI158" s="68"/>
      <c r="BJ158" s="68">
        <v>1</v>
      </c>
      <c r="BK158" s="68"/>
      <c r="BL158" s="68"/>
      <c r="BM158" s="68"/>
      <c r="BN158" s="68"/>
      <c r="BO158" s="68"/>
      <c r="BP158" s="68"/>
      <c r="BQ158" s="68"/>
      <c r="BR158" s="68">
        <v>1</v>
      </c>
      <c r="BS158" s="68"/>
      <c r="BT158" s="68"/>
    </row>
    <row r="159" spans="1:72" s="69" customFormat="1" ht="25.5" x14ac:dyDescent="0.2">
      <c r="A159" s="65">
        <v>433</v>
      </c>
      <c r="B159" s="66" t="s">
        <v>79</v>
      </c>
      <c r="C159" s="67" t="s">
        <v>240</v>
      </c>
      <c r="D159" s="67" t="s">
        <v>275</v>
      </c>
      <c r="E159" s="66" t="s">
        <v>276</v>
      </c>
      <c r="F159" s="67"/>
      <c r="G159" s="66"/>
      <c r="H159" s="67" t="s">
        <v>279</v>
      </c>
      <c r="I159" s="65" t="s">
        <v>280</v>
      </c>
      <c r="J159" s="65" t="s">
        <v>280</v>
      </c>
      <c r="K159" s="65" t="s">
        <v>281</v>
      </c>
      <c r="L159" s="65" t="s">
        <v>281</v>
      </c>
      <c r="M159" s="68">
        <f t="shared" si="54"/>
        <v>4053837.46</v>
      </c>
      <c r="N159" s="68">
        <f>2352225.1+1701612.36</f>
        <v>4053837.46</v>
      </c>
      <c r="O159" s="68"/>
      <c r="P159" s="68"/>
      <c r="Q159" s="68"/>
      <c r="R159" s="68"/>
      <c r="S159" s="68"/>
      <c r="T159" s="68"/>
      <c r="U159" s="68">
        <v>1</v>
      </c>
      <c r="V159" s="68">
        <v>1</v>
      </c>
      <c r="W159" s="68">
        <v>1</v>
      </c>
      <c r="X159" s="68">
        <v>1</v>
      </c>
      <c r="Y159" s="68">
        <v>1</v>
      </c>
      <c r="Z159" s="68">
        <v>1</v>
      </c>
      <c r="AA159" s="68">
        <v>1</v>
      </c>
      <c r="AB159" s="68">
        <v>1</v>
      </c>
      <c r="AC159" s="68">
        <v>1</v>
      </c>
      <c r="AD159" s="68">
        <v>1</v>
      </c>
      <c r="AE159" s="68">
        <v>1</v>
      </c>
      <c r="AF159" s="68">
        <v>1</v>
      </c>
      <c r="AG159" s="68">
        <v>1</v>
      </c>
      <c r="AH159" s="68">
        <v>1</v>
      </c>
      <c r="AI159" s="68">
        <v>1</v>
      </c>
      <c r="AJ159" s="68">
        <v>1</v>
      </c>
      <c r="AK159" s="68">
        <v>1</v>
      </c>
      <c r="AL159" s="68">
        <v>1</v>
      </c>
      <c r="AM159" s="68">
        <v>1</v>
      </c>
      <c r="AN159" s="68">
        <v>1</v>
      </c>
      <c r="AO159" s="68">
        <v>1</v>
      </c>
      <c r="AP159" s="68">
        <v>1</v>
      </c>
      <c r="AQ159" s="68">
        <v>1</v>
      </c>
      <c r="AR159" s="68">
        <v>1</v>
      </c>
      <c r="AS159" s="68">
        <v>1</v>
      </c>
      <c r="AT159" s="68"/>
      <c r="AU159" s="68"/>
      <c r="AV159" s="68"/>
      <c r="AW159" s="68"/>
      <c r="AX159" s="68"/>
      <c r="AY159" s="68">
        <v>1</v>
      </c>
      <c r="AZ159" s="68"/>
      <c r="BA159" s="68"/>
      <c r="BB159" s="68">
        <v>1</v>
      </c>
      <c r="BC159" s="68"/>
      <c r="BD159" s="68"/>
      <c r="BE159" s="68"/>
      <c r="BF159" s="68"/>
      <c r="BG159" s="68">
        <v>1</v>
      </c>
      <c r="BH159" s="68"/>
      <c r="BI159" s="68"/>
      <c r="BJ159" s="68"/>
      <c r="BK159" s="68"/>
      <c r="BL159" s="68"/>
      <c r="BM159" s="68">
        <v>1</v>
      </c>
      <c r="BN159" s="68"/>
      <c r="BO159" s="68"/>
      <c r="BP159" s="68"/>
      <c r="BQ159" s="68"/>
      <c r="BR159" s="68"/>
      <c r="BS159" s="68"/>
      <c r="BT159" s="68"/>
    </row>
    <row r="160" spans="1:72" s="69" customFormat="1" ht="25.5" x14ac:dyDescent="0.2">
      <c r="A160" s="65">
        <v>434</v>
      </c>
      <c r="B160" s="66" t="s">
        <v>75</v>
      </c>
      <c r="C160" s="67" t="s">
        <v>241</v>
      </c>
      <c r="D160" s="67" t="s">
        <v>259</v>
      </c>
      <c r="E160" s="66" t="s">
        <v>260</v>
      </c>
      <c r="F160" s="67"/>
      <c r="G160" s="66"/>
      <c r="H160" s="67" t="s">
        <v>279</v>
      </c>
      <c r="I160" s="65" t="s">
        <v>280</v>
      </c>
      <c r="J160" s="65" t="s">
        <v>281</v>
      </c>
      <c r="K160" s="65" t="s">
        <v>281</v>
      </c>
      <c r="L160" s="65" t="s">
        <v>281</v>
      </c>
      <c r="M160" s="68">
        <f t="shared" si="54"/>
        <v>120000</v>
      </c>
      <c r="N160" s="68">
        <f>60000+60000</f>
        <v>120000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>
        <v>1</v>
      </c>
      <c r="BE160" s="68"/>
      <c r="BF160" s="68">
        <v>1</v>
      </c>
      <c r="BG160" s="68"/>
      <c r="BH160" s="68"/>
      <c r="BI160" s="68"/>
      <c r="BJ160" s="68"/>
      <c r="BK160" s="68"/>
      <c r="BL160" s="68">
        <v>1</v>
      </c>
      <c r="BM160" s="68"/>
      <c r="BN160" s="68">
        <v>1</v>
      </c>
      <c r="BO160" s="68"/>
      <c r="BP160" s="68"/>
      <c r="BQ160" s="68"/>
      <c r="BR160" s="68"/>
      <c r="BS160" s="68">
        <v>1</v>
      </c>
      <c r="BT160" s="68"/>
    </row>
    <row r="161" spans="1:72" s="69" customFormat="1" ht="25.5" x14ac:dyDescent="0.2">
      <c r="A161" s="65">
        <v>435</v>
      </c>
      <c r="B161" s="66" t="s">
        <v>75</v>
      </c>
      <c r="C161" s="67" t="s">
        <v>242</v>
      </c>
      <c r="D161" s="67" t="s">
        <v>259</v>
      </c>
      <c r="E161" s="66" t="s">
        <v>260</v>
      </c>
      <c r="F161" s="67"/>
      <c r="G161" s="66"/>
      <c r="H161" s="67" t="s">
        <v>279</v>
      </c>
      <c r="I161" s="65" t="s">
        <v>280</v>
      </c>
      <c r="J161" s="65" t="s">
        <v>281</v>
      </c>
      <c r="K161" s="65" t="s">
        <v>281</v>
      </c>
      <c r="L161" s="65" t="s">
        <v>281</v>
      </c>
      <c r="M161" s="68">
        <f t="shared" si="54"/>
        <v>53448</v>
      </c>
      <c r="N161" s="68">
        <v>53448</v>
      </c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>
        <v>1</v>
      </c>
      <c r="AG161" s="68">
        <v>1</v>
      </c>
      <c r="AH161" s="68"/>
      <c r="AI161" s="68"/>
      <c r="AJ161" s="68"/>
      <c r="AK161" s="68">
        <v>1</v>
      </c>
      <c r="AL161" s="68">
        <v>1</v>
      </c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>
        <v>1</v>
      </c>
      <c r="BF161" s="68">
        <v>1</v>
      </c>
      <c r="BG161" s="68">
        <v>1</v>
      </c>
      <c r="BH161" s="68">
        <v>1</v>
      </c>
      <c r="BI161" s="68"/>
      <c r="BJ161" s="68">
        <v>1</v>
      </c>
      <c r="BK161" s="68"/>
      <c r="BL161" s="68">
        <v>1</v>
      </c>
      <c r="BM161" s="68">
        <v>1</v>
      </c>
      <c r="BN161" s="68">
        <v>1</v>
      </c>
      <c r="BO161" s="68"/>
      <c r="BP161" s="68"/>
      <c r="BQ161" s="68"/>
      <c r="BR161" s="68">
        <v>1</v>
      </c>
      <c r="BS161" s="68">
        <v>1</v>
      </c>
      <c r="BT161" s="68"/>
    </row>
    <row r="162" spans="1:72" s="69" customFormat="1" ht="25.5" x14ac:dyDescent="0.2">
      <c r="A162" s="65">
        <v>436</v>
      </c>
      <c r="B162" s="66" t="s">
        <v>75</v>
      </c>
      <c r="C162" s="67" t="s">
        <v>243</v>
      </c>
      <c r="D162" s="67" t="s">
        <v>259</v>
      </c>
      <c r="E162" s="66" t="s">
        <v>260</v>
      </c>
      <c r="F162" s="67"/>
      <c r="G162" s="66"/>
      <c r="H162" s="67" t="s">
        <v>279</v>
      </c>
      <c r="I162" s="65" t="s">
        <v>280</v>
      </c>
      <c r="J162" s="65" t="s">
        <v>281</v>
      </c>
      <c r="K162" s="65" t="s">
        <v>281</v>
      </c>
      <c r="L162" s="65" t="s">
        <v>281</v>
      </c>
      <c r="M162" s="68">
        <f t="shared" si="54"/>
        <v>0</v>
      </c>
      <c r="N162" s="68">
        <v>0</v>
      </c>
      <c r="O162" s="68">
        <v>0</v>
      </c>
      <c r="P162" s="68">
        <v>0</v>
      </c>
      <c r="Q162" s="68">
        <v>0</v>
      </c>
      <c r="R162" s="68">
        <v>0</v>
      </c>
      <c r="S162" s="68">
        <v>0</v>
      </c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>
        <v>1</v>
      </c>
      <c r="BG162" s="68">
        <v>1</v>
      </c>
      <c r="BH162" s="68"/>
      <c r="BI162" s="68"/>
      <c r="BJ162" s="68"/>
      <c r="BK162" s="68"/>
      <c r="BL162" s="68">
        <v>1</v>
      </c>
      <c r="BM162" s="68"/>
      <c r="BN162" s="68"/>
      <c r="BO162" s="68"/>
      <c r="BP162" s="68"/>
      <c r="BQ162" s="68"/>
      <c r="BR162" s="68"/>
      <c r="BS162" s="68"/>
      <c r="BT162" s="68"/>
    </row>
    <row r="163" spans="1:72" s="69" customFormat="1" ht="25.5" x14ac:dyDescent="0.2">
      <c r="A163" s="65">
        <v>437</v>
      </c>
      <c r="B163" s="66" t="s">
        <v>75</v>
      </c>
      <c r="C163" s="67" t="s">
        <v>244</v>
      </c>
      <c r="D163" s="67" t="s">
        <v>254</v>
      </c>
      <c r="E163" s="66" t="s">
        <v>255</v>
      </c>
      <c r="F163" s="67"/>
      <c r="G163" s="66"/>
      <c r="H163" s="67" t="s">
        <v>279</v>
      </c>
      <c r="I163" s="65" t="s">
        <v>280</v>
      </c>
      <c r="J163" s="65" t="s">
        <v>280</v>
      </c>
      <c r="K163" s="65" t="s">
        <v>281</v>
      </c>
      <c r="L163" s="65" t="s">
        <v>281</v>
      </c>
      <c r="M163" s="68">
        <f t="shared" si="54"/>
        <v>0</v>
      </c>
      <c r="N163" s="68">
        <v>0</v>
      </c>
      <c r="O163" s="68">
        <v>0</v>
      </c>
      <c r="P163" s="68">
        <v>0</v>
      </c>
      <c r="Q163" s="68">
        <v>0</v>
      </c>
      <c r="R163" s="68">
        <v>0</v>
      </c>
      <c r="S163" s="68">
        <v>0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>
        <v>1</v>
      </c>
      <c r="BH163" s="68"/>
      <c r="BI163" s="68"/>
      <c r="BJ163" s="68"/>
      <c r="BK163" s="68"/>
      <c r="BL163" s="68"/>
      <c r="BM163" s="68"/>
      <c r="BN163" s="68">
        <v>1</v>
      </c>
      <c r="BO163" s="68"/>
      <c r="BP163" s="68"/>
      <c r="BQ163" s="68"/>
      <c r="BR163" s="68"/>
      <c r="BS163" s="68"/>
      <c r="BT163" s="68"/>
    </row>
    <row r="164" spans="1:72" s="69" customFormat="1" ht="25.5" x14ac:dyDescent="0.2">
      <c r="A164" s="65">
        <v>438</v>
      </c>
      <c r="B164" s="66" t="s">
        <v>75</v>
      </c>
      <c r="C164" s="67" t="s">
        <v>245</v>
      </c>
      <c r="D164" s="67" t="s">
        <v>259</v>
      </c>
      <c r="E164" s="66" t="s">
        <v>260</v>
      </c>
      <c r="F164" s="67"/>
      <c r="G164" s="66"/>
      <c r="H164" s="67" t="s">
        <v>279</v>
      </c>
      <c r="I164" s="65" t="s">
        <v>280</v>
      </c>
      <c r="J164" s="65" t="s">
        <v>280</v>
      </c>
      <c r="K164" s="65" t="s">
        <v>281</v>
      </c>
      <c r="L164" s="65" t="s">
        <v>281</v>
      </c>
      <c r="M164" s="68">
        <f t="shared" si="54"/>
        <v>53957.727980000003</v>
      </c>
      <c r="N164" s="68">
        <v>53957.727980000003</v>
      </c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>
        <v>1</v>
      </c>
      <c r="AB164" s="68">
        <v>1</v>
      </c>
      <c r="AC164" s="68"/>
      <c r="AD164" s="68"/>
      <c r="AE164" s="68"/>
      <c r="AF164" s="68"/>
      <c r="AG164" s="68"/>
      <c r="AH164" s="68"/>
      <c r="AI164" s="68"/>
      <c r="AJ164" s="68"/>
      <c r="AK164" s="68">
        <v>1</v>
      </c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>
        <v>1</v>
      </c>
      <c r="BD164" s="68"/>
      <c r="BE164" s="68"/>
      <c r="BF164" s="68"/>
      <c r="BG164" s="68"/>
      <c r="BH164" s="68">
        <v>1</v>
      </c>
      <c r="BI164" s="68"/>
      <c r="BJ164" s="68"/>
      <c r="BK164" s="68"/>
      <c r="BL164" s="68"/>
      <c r="BM164" s="68"/>
      <c r="BN164" s="68"/>
      <c r="BO164" s="68"/>
      <c r="BP164" s="68"/>
      <c r="BQ164" s="68"/>
      <c r="BR164" s="68">
        <v>1</v>
      </c>
      <c r="BS164" s="68"/>
      <c r="BT164" s="68"/>
    </row>
    <row r="165" spans="1:72" s="69" customFormat="1" ht="25.5" x14ac:dyDescent="0.2">
      <c r="A165" s="65">
        <v>439</v>
      </c>
      <c r="B165" s="66" t="s">
        <v>75</v>
      </c>
      <c r="C165" s="67" t="s">
        <v>246</v>
      </c>
      <c r="D165" s="67" t="s">
        <v>259</v>
      </c>
      <c r="E165" s="66" t="s">
        <v>260</v>
      </c>
      <c r="F165" s="67"/>
      <c r="G165" s="66"/>
      <c r="H165" s="67" t="s">
        <v>279</v>
      </c>
      <c r="I165" s="65" t="s">
        <v>280</v>
      </c>
      <c r="J165" s="65" t="s">
        <v>281</v>
      </c>
      <c r="K165" s="65" t="s">
        <v>281</v>
      </c>
      <c r="L165" s="65" t="s">
        <v>281</v>
      </c>
      <c r="M165" s="68">
        <f t="shared" si="54"/>
        <v>0</v>
      </c>
      <c r="N165" s="68">
        <v>0</v>
      </c>
      <c r="O165" s="68">
        <v>0</v>
      </c>
      <c r="P165" s="68">
        <v>0</v>
      </c>
      <c r="Q165" s="68">
        <v>0</v>
      </c>
      <c r="R165" s="68">
        <v>0</v>
      </c>
      <c r="S165" s="68">
        <v>0</v>
      </c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>
        <v>1</v>
      </c>
      <c r="BG165" s="68"/>
      <c r="BH165" s="68"/>
      <c r="BI165" s="68"/>
      <c r="BJ165" s="68"/>
      <c r="BK165" s="68"/>
      <c r="BL165" s="68">
        <v>1</v>
      </c>
      <c r="BM165" s="68"/>
      <c r="BN165" s="68"/>
      <c r="BO165" s="68"/>
      <c r="BP165" s="68"/>
      <c r="BQ165" s="68"/>
      <c r="BR165" s="68"/>
      <c r="BS165" s="68"/>
      <c r="BT165" s="68"/>
    </row>
    <row r="166" spans="1:72" s="69" customFormat="1" ht="25.5" x14ac:dyDescent="0.2">
      <c r="A166" s="65">
        <v>440</v>
      </c>
      <c r="B166" s="66" t="s">
        <v>75</v>
      </c>
      <c r="C166" s="67" t="s">
        <v>247</v>
      </c>
      <c r="D166" s="67" t="s">
        <v>259</v>
      </c>
      <c r="E166" s="66" t="s">
        <v>260</v>
      </c>
      <c r="F166" s="67" t="s">
        <v>259</v>
      </c>
      <c r="G166" s="66" t="s">
        <v>262</v>
      </c>
      <c r="H166" s="67" t="s">
        <v>279</v>
      </c>
      <c r="I166" s="65" t="s">
        <v>280</v>
      </c>
      <c r="J166" s="65" t="s">
        <v>281</v>
      </c>
      <c r="K166" s="65" t="s">
        <v>281</v>
      </c>
      <c r="L166" s="65" t="s">
        <v>280</v>
      </c>
      <c r="M166" s="68">
        <f t="shared" si="54"/>
        <v>0</v>
      </c>
      <c r="N166" s="68">
        <v>0</v>
      </c>
      <c r="O166" s="68">
        <v>0</v>
      </c>
      <c r="P166" s="68"/>
      <c r="Q166" s="68">
        <v>0</v>
      </c>
      <c r="R166" s="68">
        <v>0</v>
      </c>
      <c r="S166" s="68">
        <v>0</v>
      </c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>
        <v>1</v>
      </c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</row>
    <row r="167" spans="1:72" s="69" customFormat="1" ht="25.5" x14ac:dyDescent="0.2">
      <c r="A167" s="65">
        <v>441</v>
      </c>
      <c r="B167" s="66" t="s">
        <v>75</v>
      </c>
      <c r="C167" s="67" t="s">
        <v>248</v>
      </c>
      <c r="D167" s="67" t="s">
        <v>254</v>
      </c>
      <c r="E167" s="66" t="s">
        <v>255</v>
      </c>
      <c r="F167" s="67" t="s">
        <v>254</v>
      </c>
      <c r="G167" s="66" t="s">
        <v>258</v>
      </c>
      <c r="H167" s="67" t="s">
        <v>279</v>
      </c>
      <c r="I167" s="65" t="s">
        <v>280</v>
      </c>
      <c r="J167" s="65" t="s">
        <v>280</v>
      </c>
      <c r="K167" s="65" t="s">
        <v>281</v>
      </c>
      <c r="L167" s="65" t="s">
        <v>280</v>
      </c>
      <c r="M167" s="68">
        <f t="shared" si="54"/>
        <v>319712.62799999997</v>
      </c>
      <c r="N167" s="68"/>
      <c r="O167" s="68"/>
      <c r="P167" s="68">
        <f>6043.675+6809.748+75265.908+19595.848+16089.735+100162.109+54360.177+18077.256+19429.876+3878.296</f>
        <v>319712.62799999997</v>
      </c>
      <c r="Q167" s="68"/>
      <c r="R167" s="68"/>
      <c r="S167" s="68"/>
      <c r="T167" s="68"/>
      <c r="U167" s="68">
        <v>1</v>
      </c>
      <c r="V167" s="68">
        <v>1</v>
      </c>
      <c r="W167" s="68"/>
      <c r="X167" s="68"/>
      <c r="Y167" s="68"/>
      <c r="Z167" s="68">
        <v>1</v>
      </c>
      <c r="AA167" s="68">
        <v>1</v>
      </c>
      <c r="AB167" s="68"/>
      <c r="AC167" s="68">
        <v>1</v>
      </c>
      <c r="AD167" s="68">
        <v>1</v>
      </c>
      <c r="AE167" s="68">
        <v>1</v>
      </c>
      <c r="AF167" s="68">
        <v>1</v>
      </c>
      <c r="AG167" s="68">
        <v>1</v>
      </c>
      <c r="AH167" s="68">
        <v>1</v>
      </c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>
        <v>1</v>
      </c>
      <c r="BD167" s="68"/>
      <c r="BE167" s="68"/>
      <c r="BF167" s="68"/>
      <c r="BG167" s="68">
        <v>1</v>
      </c>
      <c r="BH167" s="68">
        <v>1</v>
      </c>
      <c r="BI167" s="68"/>
      <c r="BJ167" s="68">
        <v>1</v>
      </c>
      <c r="BK167" s="68"/>
      <c r="BL167" s="68"/>
      <c r="BM167" s="68"/>
      <c r="BN167" s="68">
        <v>1</v>
      </c>
      <c r="BO167" s="68"/>
      <c r="BP167" s="68"/>
      <c r="BQ167" s="68"/>
      <c r="BR167" s="68">
        <v>1</v>
      </c>
      <c r="BS167" s="68"/>
      <c r="BT167" s="68"/>
    </row>
    <row r="168" spans="1:72" s="69" customFormat="1" ht="25.5" x14ac:dyDescent="0.2">
      <c r="A168" s="65">
        <v>442</v>
      </c>
      <c r="B168" s="66" t="s">
        <v>75</v>
      </c>
      <c r="C168" s="67" t="s">
        <v>249</v>
      </c>
      <c r="D168" s="67" t="s">
        <v>254</v>
      </c>
      <c r="E168" s="66" t="s">
        <v>255</v>
      </c>
      <c r="F168" s="67"/>
      <c r="G168" s="66"/>
      <c r="H168" s="67" t="s">
        <v>279</v>
      </c>
      <c r="I168" s="65" t="s">
        <v>280</v>
      </c>
      <c r="J168" s="65" t="s">
        <v>280</v>
      </c>
      <c r="K168" s="65" t="s">
        <v>281</v>
      </c>
      <c r="L168" s="65" t="s">
        <v>281</v>
      </c>
      <c r="M168" s="68">
        <f t="shared" si="54"/>
        <v>201016.639</v>
      </c>
      <c r="N168" s="68">
        <f>168016.815+31056+1943.824</f>
        <v>201016.639</v>
      </c>
      <c r="O168" s="68"/>
      <c r="P168" s="68"/>
      <c r="Q168" s="68"/>
      <c r="R168" s="68"/>
      <c r="S168" s="68"/>
      <c r="T168" s="68"/>
      <c r="U168" s="68">
        <v>1</v>
      </c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>
        <v>1</v>
      </c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>
        <v>1</v>
      </c>
      <c r="BI168" s="68"/>
      <c r="BJ168" s="68"/>
      <c r="BK168" s="68">
        <v>1</v>
      </c>
      <c r="BL168" s="68"/>
      <c r="BM168" s="68"/>
      <c r="BN168" s="68"/>
      <c r="BO168" s="68"/>
      <c r="BP168" s="68"/>
      <c r="BQ168" s="68"/>
      <c r="BR168" s="68"/>
      <c r="BS168" s="68"/>
      <c r="BT168" s="68"/>
    </row>
    <row r="169" spans="1:72" s="69" customFormat="1" ht="25.5" x14ac:dyDescent="0.2">
      <c r="A169" s="65">
        <v>443</v>
      </c>
      <c r="B169" s="66" t="s">
        <v>75</v>
      </c>
      <c r="C169" s="67" t="s">
        <v>250</v>
      </c>
      <c r="D169" s="67" t="s">
        <v>259</v>
      </c>
      <c r="E169" s="66" t="s">
        <v>260</v>
      </c>
      <c r="F169" s="67"/>
      <c r="G169" s="66"/>
      <c r="H169" s="67" t="s">
        <v>279</v>
      </c>
      <c r="I169" s="65" t="s">
        <v>280</v>
      </c>
      <c r="J169" s="65" t="s">
        <v>281</v>
      </c>
      <c r="K169" s="65" t="s">
        <v>281</v>
      </c>
      <c r="L169" s="65" t="s">
        <v>281</v>
      </c>
      <c r="M169" s="68">
        <f t="shared" si="54"/>
        <v>49157</v>
      </c>
      <c r="N169" s="68">
        <v>49157</v>
      </c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>
        <v>1</v>
      </c>
      <c r="AG169" s="68">
        <v>1</v>
      </c>
      <c r="AH169" s="68"/>
      <c r="AI169" s="68"/>
      <c r="AJ169" s="68"/>
      <c r="AK169" s="68">
        <v>1</v>
      </c>
      <c r="AL169" s="68">
        <v>1</v>
      </c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>
        <v>1</v>
      </c>
      <c r="BH169" s="68">
        <v>1</v>
      </c>
      <c r="BI169" s="68"/>
      <c r="BJ169" s="68"/>
      <c r="BK169" s="68"/>
      <c r="BL169" s="68">
        <v>1</v>
      </c>
      <c r="BM169" s="68"/>
      <c r="BN169" s="68"/>
      <c r="BO169" s="68"/>
      <c r="BP169" s="68"/>
      <c r="BQ169" s="68"/>
      <c r="BR169" s="68"/>
      <c r="BS169" s="68"/>
      <c r="BT169" s="68"/>
    </row>
    <row r="170" spans="1:72" s="69" customFormat="1" ht="25.5" x14ac:dyDescent="0.2">
      <c r="A170" s="65">
        <v>444</v>
      </c>
      <c r="B170" s="66" t="s">
        <v>75</v>
      </c>
      <c r="C170" s="67" t="s">
        <v>251</v>
      </c>
      <c r="D170" s="67" t="s">
        <v>259</v>
      </c>
      <c r="E170" s="66" t="s">
        <v>260</v>
      </c>
      <c r="F170" s="67" t="s">
        <v>259</v>
      </c>
      <c r="G170" s="66" t="s">
        <v>262</v>
      </c>
      <c r="H170" s="67" t="s">
        <v>279</v>
      </c>
      <c r="I170" s="65" t="s">
        <v>280</v>
      </c>
      <c r="J170" s="65" t="s">
        <v>281</v>
      </c>
      <c r="K170" s="65" t="s">
        <v>281</v>
      </c>
      <c r="L170" s="65" t="s">
        <v>280</v>
      </c>
      <c r="M170" s="68">
        <f t="shared" si="54"/>
        <v>170980.50900000002</v>
      </c>
      <c r="N170" s="68">
        <f>72040.095+18785.027+80155.387</f>
        <v>170980.50900000002</v>
      </c>
      <c r="O170" s="68"/>
      <c r="P170" s="68"/>
      <c r="Q170" s="68"/>
      <c r="R170" s="68"/>
      <c r="S170" s="68"/>
      <c r="T170" s="68"/>
      <c r="U170" s="68"/>
      <c r="V170" s="68">
        <v>1</v>
      </c>
      <c r="W170" s="68"/>
      <c r="X170" s="68"/>
      <c r="Y170" s="68"/>
      <c r="Z170" s="68">
        <v>1</v>
      </c>
      <c r="AA170" s="68">
        <v>1</v>
      </c>
      <c r="AB170" s="68">
        <v>1</v>
      </c>
      <c r="AC170" s="68"/>
      <c r="AD170" s="68"/>
      <c r="AE170" s="68">
        <v>1</v>
      </c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>
        <v>1</v>
      </c>
      <c r="BI170" s="68"/>
      <c r="BJ170" s="68"/>
      <c r="BK170" s="68"/>
      <c r="BL170" s="68">
        <v>1</v>
      </c>
      <c r="BM170" s="68"/>
      <c r="BN170" s="68"/>
      <c r="BO170" s="68"/>
      <c r="BP170" s="68"/>
      <c r="BQ170" s="68"/>
      <c r="BR170" s="68"/>
      <c r="BS170" s="68"/>
      <c r="BT170" s="68"/>
    </row>
    <row r="171" spans="1:72" s="69" customFormat="1" ht="25.5" x14ac:dyDescent="0.2">
      <c r="A171" s="65">
        <v>445</v>
      </c>
      <c r="B171" s="66" t="s">
        <v>75</v>
      </c>
      <c r="C171" s="67" t="s">
        <v>252</v>
      </c>
      <c r="D171" s="67" t="s">
        <v>259</v>
      </c>
      <c r="E171" s="66" t="s">
        <v>260</v>
      </c>
      <c r="F171" s="67" t="s">
        <v>259</v>
      </c>
      <c r="G171" s="66" t="s">
        <v>262</v>
      </c>
      <c r="H171" s="67" t="s">
        <v>279</v>
      </c>
      <c r="I171" s="65" t="s">
        <v>280</v>
      </c>
      <c r="J171" s="65" t="s">
        <v>281</v>
      </c>
      <c r="K171" s="65" t="s">
        <v>281</v>
      </c>
      <c r="L171" s="65" t="s">
        <v>280</v>
      </c>
      <c r="M171" s="68">
        <f t="shared" si="54"/>
        <v>33482</v>
      </c>
      <c r="N171" s="68"/>
      <c r="O171" s="68"/>
      <c r="P171" s="68">
        <f>183+2931+2987+591+1138+838+540+517+240+408+20587+2522</f>
        <v>33482</v>
      </c>
      <c r="Q171" s="68"/>
      <c r="R171" s="68"/>
      <c r="S171" s="68"/>
      <c r="T171" s="68"/>
      <c r="U171" s="68">
        <v>1</v>
      </c>
      <c r="V171" s="68">
        <v>1</v>
      </c>
      <c r="W171" s="68"/>
      <c r="X171" s="68"/>
      <c r="Y171" s="68">
        <v>1</v>
      </c>
      <c r="Z171" s="68">
        <v>1</v>
      </c>
      <c r="AA171" s="68">
        <v>1</v>
      </c>
      <c r="AB171" s="68">
        <v>1</v>
      </c>
      <c r="AC171" s="68">
        <v>1</v>
      </c>
      <c r="AD171" s="68"/>
      <c r="AE171" s="68">
        <v>1</v>
      </c>
      <c r="AF171" s="68">
        <v>1</v>
      </c>
      <c r="AG171" s="68">
        <v>1</v>
      </c>
      <c r="AH171" s="68">
        <v>1</v>
      </c>
      <c r="AI171" s="68">
        <v>1</v>
      </c>
      <c r="AJ171" s="68">
        <v>1</v>
      </c>
      <c r="AK171" s="68">
        <v>1</v>
      </c>
      <c r="AL171" s="68">
        <v>1</v>
      </c>
      <c r="AM171" s="68"/>
      <c r="AN171" s="68"/>
      <c r="AO171" s="68"/>
      <c r="AP171" s="68"/>
      <c r="AQ171" s="68"/>
      <c r="AR171" s="68"/>
      <c r="AS171" s="68"/>
      <c r="AT171" s="68"/>
      <c r="AU171" s="68">
        <v>1</v>
      </c>
      <c r="AV171" s="68"/>
      <c r="AW171" s="68"/>
      <c r="AX171" s="68"/>
      <c r="AY171" s="68"/>
      <c r="AZ171" s="68"/>
      <c r="BA171" s="68"/>
      <c r="BB171" s="68">
        <v>1</v>
      </c>
      <c r="BC171" s="68"/>
      <c r="BD171" s="68"/>
      <c r="BE171" s="68"/>
      <c r="BF171" s="68"/>
      <c r="BG171" s="68">
        <v>1</v>
      </c>
      <c r="BH171" s="68">
        <v>1</v>
      </c>
      <c r="BI171" s="68"/>
      <c r="BJ171" s="68">
        <v>1</v>
      </c>
      <c r="BK171" s="68"/>
      <c r="BL171" s="68">
        <v>1</v>
      </c>
      <c r="BM171" s="68">
        <v>1</v>
      </c>
      <c r="BN171" s="68"/>
      <c r="BO171" s="68"/>
      <c r="BP171" s="68"/>
      <c r="BQ171" s="68"/>
      <c r="BR171" s="68">
        <v>1</v>
      </c>
      <c r="BS171" s="68"/>
      <c r="BT171" s="68"/>
    </row>
    <row r="172" spans="1:72" s="69" customFormat="1" ht="25.5" x14ac:dyDescent="0.2">
      <c r="A172" s="65">
        <v>446</v>
      </c>
      <c r="B172" s="66" t="s">
        <v>75</v>
      </c>
      <c r="C172" s="67" t="s">
        <v>253</v>
      </c>
      <c r="D172" s="67" t="s">
        <v>256</v>
      </c>
      <c r="E172" s="66" t="s">
        <v>268</v>
      </c>
      <c r="F172" s="67"/>
      <c r="G172" s="66"/>
      <c r="H172" s="67" t="s">
        <v>279</v>
      </c>
      <c r="I172" s="65" t="s">
        <v>280</v>
      </c>
      <c r="J172" s="65" t="s">
        <v>280</v>
      </c>
      <c r="K172" s="65" t="s">
        <v>281</v>
      </c>
      <c r="L172" s="65" t="s">
        <v>281</v>
      </c>
      <c r="M172" s="68">
        <f t="shared" si="54"/>
        <v>0</v>
      </c>
      <c r="N172" s="68">
        <v>0</v>
      </c>
      <c r="O172" s="68">
        <v>0</v>
      </c>
      <c r="P172" s="68">
        <v>0</v>
      </c>
      <c r="Q172" s="68">
        <v>0</v>
      </c>
      <c r="R172" s="68">
        <v>0</v>
      </c>
      <c r="S172" s="68">
        <v>0</v>
      </c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>
        <v>1</v>
      </c>
      <c r="BH172" s="68">
        <v>1</v>
      </c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>
        <v>1</v>
      </c>
    </row>
  </sheetData>
  <autoFilter ref="A4:L172"/>
  <mergeCells count="1">
    <mergeCell ref="J1:M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workbookViewId="0">
      <selection activeCell="C16" sqref="C16"/>
    </sheetView>
  </sheetViews>
  <sheetFormatPr defaultRowHeight="15.75" x14ac:dyDescent="0.25"/>
  <cols>
    <col min="1" max="1" width="9.140625" style="10"/>
    <col min="2" max="2" width="11.5703125" style="10" customWidth="1"/>
    <col min="3" max="3" width="61.85546875" style="10" customWidth="1"/>
    <col min="4" max="4" width="10.5703125" style="10" customWidth="1"/>
    <col min="5" max="5" width="8" style="10" customWidth="1"/>
    <col min="6" max="6" width="14.5703125" style="10" customWidth="1"/>
    <col min="7" max="7" width="40.28515625" style="10" customWidth="1"/>
    <col min="8" max="8" width="12.42578125" style="10" customWidth="1"/>
    <col min="9" max="9" width="9.140625" style="10"/>
    <col min="10" max="10" width="64" style="10" customWidth="1"/>
    <col min="11" max="257" width="9.140625" style="10"/>
    <col min="258" max="258" width="11.5703125" style="10" customWidth="1"/>
    <col min="259" max="259" width="61.85546875" style="10" customWidth="1"/>
    <col min="260" max="260" width="10.5703125" style="10" customWidth="1"/>
    <col min="261" max="261" width="8" style="10" customWidth="1"/>
    <col min="262" max="262" width="14.5703125" style="10" customWidth="1"/>
    <col min="263" max="263" width="40.28515625" style="10" customWidth="1"/>
    <col min="264" max="264" width="12.42578125" style="10" customWidth="1"/>
    <col min="265" max="265" width="9.140625" style="10"/>
    <col min="266" max="266" width="64" style="10" customWidth="1"/>
    <col min="267" max="513" width="9.140625" style="10"/>
    <col min="514" max="514" width="11.5703125" style="10" customWidth="1"/>
    <col min="515" max="515" width="61.85546875" style="10" customWidth="1"/>
    <col min="516" max="516" width="10.5703125" style="10" customWidth="1"/>
    <col min="517" max="517" width="8" style="10" customWidth="1"/>
    <col min="518" max="518" width="14.5703125" style="10" customWidth="1"/>
    <col min="519" max="519" width="40.28515625" style="10" customWidth="1"/>
    <col min="520" max="520" width="12.42578125" style="10" customWidth="1"/>
    <col min="521" max="521" width="9.140625" style="10"/>
    <col min="522" max="522" width="64" style="10" customWidth="1"/>
    <col min="523" max="769" width="9.140625" style="10"/>
    <col min="770" max="770" width="11.5703125" style="10" customWidth="1"/>
    <col min="771" max="771" width="61.85546875" style="10" customWidth="1"/>
    <col min="772" max="772" width="10.5703125" style="10" customWidth="1"/>
    <col min="773" max="773" width="8" style="10" customWidth="1"/>
    <col min="774" max="774" width="14.5703125" style="10" customWidth="1"/>
    <col min="775" max="775" width="40.28515625" style="10" customWidth="1"/>
    <col min="776" max="776" width="12.42578125" style="10" customWidth="1"/>
    <col min="777" max="777" width="9.140625" style="10"/>
    <col min="778" max="778" width="64" style="10" customWidth="1"/>
    <col min="779" max="1025" width="9.140625" style="10"/>
    <col min="1026" max="1026" width="11.5703125" style="10" customWidth="1"/>
    <col min="1027" max="1027" width="61.85546875" style="10" customWidth="1"/>
    <col min="1028" max="1028" width="10.5703125" style="10" customWidth="1"/>
    <col min="1029" max="1029" width="8" style="10" customWidth="1"/>
    <col min="1030" max="1030" width="14.5703125" style="10" customWidth="1"/>
    <col min="1031" max="1031" width="40.28515625" style="10" customWidth="1"/>
    <col min="1032" max="1032" width="12.42578125" style="10" customWidth="1"/>
    <col min="1033" max="1033" width="9.140625" style="10"/>
    <col min="1034" max="1034" width="64" style="10" customWidth="1"/>
    <col min="1035" max="1281" width="9.140625" style="10"/>
    <col min="1282" max="1282" width="11.5703125" style="10" customWidth="1"/>
    <col min="1283" max="1283" width="61.85546875" style="10" customWidth="1"/>
    <col min="1284" max="1284" width="10.5703125" style="10" customWidth="1"/>
    <col min="1285" max="1285" width="8" style="10" customWidth="1"/>
    <col min="1286" max="1286" width="14.5703125" style="10" customWidth="1"/>
    <col min="1287" max="1287" width="40.28515625" style="10" customWidth="1"/>
    <col min="1288" max="1288" width="12.42578125" style="10" customWidth="1"/>
    <col min="1289" max="1289" width="9.140625" style="10"/>
    <col min="1290" max="1290" width="64" style="10" customWidth="1"/>
    <col min="1291" max="1537" width="9.140625" style="10"/>
    <col min="1538" max="1538" width="11.5703125" style="10" customWidth="1"/>
    <col min="1539" max="1539" width="61.85546875" style="10" customWidth="1"/>
    <col min="1540" max="1540" width="10.5703125" style="10" customWidth="1"/>
    <col min="1541" max="1541" width="8" style="10" customWidth="1"/>
    <col min="1542" max="1542" width="14.5703125" style="10" customWidth="1"/>
    <col min="1543" max="1543" width="40.28515625" style="10" customWidth="1"/>
    <col min="1544" max="1544" width="12.42578125" style="10" customWidth="1"/>
    <col min="1545" max="1545" width="9.140625" style="10"/>
    <col min="1546" max="1546" width="64" style="10" customWidth="1"/>
    <col min="1547" max="1793" width="9.140625" style="10"/>
    <col min="1794" max="1794" width="11.5703125" style="10" customWidth="1"/>
    <col min="1795" max="1795" width="61.85546875" style="10" customWidth="1"/>
    <col min="1796" max="1796" width="10.5703125" style="10" customWidth="1"/>
    <col min="1797" max="1797" width="8" style="10" customWidth="1"/>
    <col min="1798" max="1798" width="14.5703125" style="10" customWidth="1"/>
    <col min="1799" max="1799" width="40.28515625" style="10" customWidth="1"/>
    <col min="1800" max="1800" width="12.42578125" style="10" customWidth="1"/>
    <col min="1801" max="1801" width="9.140625" style="10"/>
    <col min="1802" max="1802" width="64" style="10" customWidth="1"/>
    <col min="1803" max="2049" width="9.140625" style="10"/>
    <col min="2050" max="2050" width="11.5703125" style="10" customWidth="1"/>
    <col min="2051" max="2051" width="61.85546875" style="10" customWidth="1"/>
    <col min="2052" max="2052" width="10.5703125" style="10" customWidth="1"/>
    <col min="2053" max="2053" width="8" style="10" customWidth="1"/>
    <col min="2054" max="2054" width="14.5703125" style="10" customWidth="1"/>
    <col min="2055" max="2055" width="40.28515625" style="10" customWidth="1"/>
    <col min="2056" max="2056" width="12.42578125" style="10" customWidth="1"/>
    <col min="2057" max="2057" width="9.140625" style="10"/>
    <col min="2058" max="2058" width="64" style="10" customWidth="1"/>
    <col min="2059" max="2305" width="9.140625" style="10"/>
    <col min="2306" max="2306" width="11.5703125" style="10" customWidth="1"/>
    <col min="2307" max="2307" width="61.85546875" style="10" customWidth="1"/>
    <col min="2308" max="2308" width="10.5703125" style="10" customWidth="1"/>
    <col min="2309" max="2309" width="8" style="10" customWidth="1"/>
    <col min="2310" max="2310" width="14.5703125" style="10" customWidth="1"/>
    <col min="2311" max="2311" width="40.28515625" style="10" customWidth="1"/>
    <col min="2312" max="2312" width="12.42578125" style="10" customWidth="1"/>
    <col min="2313" max="2313" width="9.140625" style="10"/>
    <col min="2314" max="2314" width="64" style="10" customWidth="1"/>
    <col min="2315" max="2561" width="9.140625" style="10"/>
    <col min="2562" max="2562" width="11.5703125" style="10" customWidth="1"/>
    <col min="2563" max="2563" width="61.85546875" style="10" customWidth="1"/>
    <col min="2564" max="2564" width="10.5703125" style="10" customWidth="1"/>
    <col min="2565" max="2565" width="8" style="10" customWidth="1"/>
    <col min="2566" max="2566" width="14.5703125" style="10" customWidth="1"/>
    <col min="2567" max="2567" width="40.28515625" style="10" customWidth="1"/>
    <col min="2568" max="2568" width="12.42578125" style="10" customWidth="1"/>
    <col min="2569" max="2569" width="9.140625" style="10"/>
    <col min="2570" max="2570" width="64" style="10" customWidth="1"/>
    <col min="2571" max="2817" width="9.140625" style="10"/>
    <col min="2818" max="2818" width="11.5703125" style="10" customWidth="1"/>
    <col min="2819" max="2819" width="61.85546875" style="10" customWidth="1"/>
    <col min="2820" max="2820" width="10.5703125" style="10" customWidth="1"/>
    <col min="2821" max="2821" width="8" style="10" customWidth="1"/>
    <col min="2822" max="2822" width="14.5703125" style="10" customWidth="1"/>
    <col min="2823" max="2823" width="40.28515625" style="10" customWidth="1"/>
    <col min="2824" max="2824" width="12.42578125" style="10" customWidth="1"/>
    <col min="2825" max="2825" width="9.140625" style="10"/>
    <col min="2826" max="2826" width="64" style="10" customWidth="1"/>
    <col min="2827" max="3073" width="9.140625" style="10"/>
    <col min="3074" max="3074" width="11.5703125" style="10" customWidth="1"/>
    <col min="3075" max="3075" width="61.85546875" style="10" customWidth="1"/>
    <col min="3076" max="3076" width="10.5703125" style="10" customWidth="1"/>
    <col min="3077" max="3077" width="8" style="10" customWidth="1"/>
    <col min="3078" max="3078" width="14.5703125" style="10" customWidth="1"/>
    <col min="3079" max="3079" width="40.28515625" style="10" customWidth="1"/>
    <col min="3080" max="3080" width="12.42578125" style="10" customWidth="1"/>
    <col min="3081" max="3081" width="9.140625" style="10"/>
    <col min="3082" max="3082" width="64" style="10" customWidth="1"/>
    <col min="3083" max="3329" width="9.140625" style="10"/>
    <col min="3330" max="3330" width="11.5703125" style="10" customWidth="1"/>
    <col min="3331" max="3331" width="61.85546875" style="10" customWidth="1"/>
    <col min="3332" max="3332" width="10.5703125" style="10" customWidth="1"/>
    <col min="3333" max="3333" width="8" style="10" customWidth="1"/>
    <col min="3334" max="3334" width="14.5703125" style="10" customWidth="1"/>
    <col min="3335" max="3335" width="40.28515625" style="10" customWidth="1"/>
    <col min="3336" max="3336" width="12.42578125" style="10" customWidth="1"/>
    <col min="3337" max="3337" width="9.140625" style="10"/>
    <col min="3338" max="3338" width="64" style="10" customWidth="1"/>
    <col min="3339" max="3585" width="9.140625" style="10"/>
    <col min="3586" max="3586" width="11.5703125" style="10" customWidth="1"/>
    <col min="3587" max="3587" width="61.85546875" style="10" customWidth="1"/>
    <col min="3588" max="3588" width="10.5703125" style="10" customWidth="1"/>
    <col min="3589" max="3589" width="8" style="10" customWidth="1"/>
    <col min="3590" max="3590" width="14.5703125" style="10" customWidth="1"/>
    <col min="3591" max="3591" width="40.28515625" style="10" customWidth="1"/>
    <col min="3592" max="3592" width="12.42578125" style="10" customWidth="1"/>
    <col min="3593" max="3593" width="9.140625" style="10"/>
    <col min="3594" max="3594" width="64" style="10" customWidth="1"/>
    <col min="3595" max="3841" width="9.140625" style="10"/>
    <col min="3842" max="3842" width="11.5703125" style="10" customWidth="1"/>
    <col min="3843" max="3843" width="61.85546875" style="10" customWidth="1"/>
    <col min="3844" max="3844" width="10.5703125" style="10" customWidth="1"/>
    <col min="3845" max="3845" width="8" style="10" customWidth="1"/>
    <col min="3846" max="3846" width="14.5703125" style="10" customWidth="1"/>
    <col min="3847" max="3847" width="40.28515625" style="10" customWidth="1"/>
    <col min="3848" max="3848" width="12.42578125" style="10" customWidth="1"/>
    <col min="3849" max="3849" width="9.140625" style="10"/>
    <col min="3850" max="3850" width="64" style="10" customWidth="1"/>
    <col min="3851" max="4097" width="9.140625" style="10"/>
    <col min="4098" max="4098" width="11.5703125" style="10" customWidth="1"/>
    <col min="4099" max="4099" width="61.85546875" style="10" customWidth="1"/>
    <col min="4100" max="4100" width="10.5703125" style="10" customWidth="1"/>
    <col min="4101" max="4101" width="8" style="10" customWidth="1"/>
    <col min="4102" max="4102" width="14.5703125" style="10" customWidth="1"/>
    <col min="4103" max="4103" width="40.28515625" style="10" customWidth="1"/>
    <col min="4104" max="4104" width="12.42578125" style="10" customWidth="1"/>
    <col min="4105" max="4105" width="9.140625" style="10"/>
    <col min="4106" max="4106" width="64" style="10" customWidth="1"/>
    <col min="4107" max="4353" width="9.140625" style="10"/>
    <col min="4354" max="4354" width="11.5703125" style="10" customWidth="1"/>
    <col min="4355" max="4355" width="61.85546875" style="10" customWidth="1"/>
    <col min="4356" max="4356" width="10.5703125" style="10" customWidth="1"/>
    <col min="4357" max="4357" width="8" style="10" customWidth="1"/>
    <col min="4358" max="4358" width="14.5703125" style="10" customWidth="1"/>
    <col min="4359" max="4359" width="40.28515625" style="10" customWidth="1"/>
    <col min="4360" max="4360" width="12.42578125" style="10" customWidth="1"/>
    <col min="4361" max="4361" width="9.140625" style="10"/>
    <col min="4362" max="4362" width="64" style="10" customWidth="1"/>
    <col min="4363" max="4609" width="9.140625" style="10"/>
    <col min="4610" max="4610" width="11.5703125" style="10" customWidth="1"/>
    <col min="4611" max="4611" width="61.85546875" style="10" customWidth="1"/>
    <col min="4612" max="4612" width="10.5703125" style="10" customWidth="1"/>
    <col min="4613" max="4613" width="8" style="10" customWidth="1"/>
    <col min="4614" max="4614" width="14.5703125" style="10" customWidth="1"/>
    <col min="4615" max="4615" width="40.28515625" style="10" customWidth="1"/>
    <col min="4616" max="4616" width="12.42578125" style="10" customWidth="1"/>
    <col min="4617" max="4617" width="9.140625" style="10"/>
    <col min="4618" max="4618" width="64" style="10" customWidth="1"/>
    <col min="4619" max="4865" width="9.140625" style="10"/>
    <col min="4866" max="4866" width="11.5703125" style="10" customWidth="1"/>
    <col min="4867" max="4867" width="61.85546875" style="10" customWidth="1"/>
    <col min="4868" max="4868" width="10.5703125" style="10" customWidth="1"/>
    <col min="4869" max="4869" width="8" style="10" customWidth="1"/>
    <col min="4870" max="4870" width="14.5703125" style="10" customWidth="1"/>
    <col min="4871" max="4871" width="40.28515625" style="10" customWidth="1"/>
    <col min="4872" max="4872" width="12.42578125" style="10" customWidth="1"/>
    <col min="4873" max="4873" width="9.140625" style="10"/>
    <col min="4874" max="4874" width="64" style="10" customWidth="1"/>
    <col min="4875" max="5121" width="9.140625" style="10"/>
    <col min="5122" max="5122" width="11.5703125" style="10" customWidth="1"/>
    <col min="5123" max="5123" width="61.85546875" style="10" customWidth="1"/>
    <col min="5124" max="5124" width="10.5703125" style="10" customWidth="1"/>
    <col min="5125" max="5125" width="8" style="10" customWidth="1"/>
    <col min="5126" max="5126" width="14.5703125" style="10" customWidth="1"/>
    <col min="5127" max="5127" width="40.28515625" style="10" customWidth="1"/>
    <col min="5128" max="5128" width="12.42578125" style="10" customWidth="1"/>
    <col min="5129" max="5129" width="9.140625" style="10"/>
    <col min="5130" max="5130" width="64" style="10" customWidth="1"/>
    <col min="5131" max="5377" width="9.140625" style="10"/>
    <col min="5378" max="5378" width="11.5703125" style="10" customWidth="1"/>
    <col min="5379" max="5379" width="61.85546875" style="10" customWidth="1"/>
    <col min="5380" max="5380" width="10.5703125" style="10" customWidth="1"/>
    <col min="5381" max="5381" width="8" style="10" customWidth="1"/>
    <col min="5382" max="5382" width="14.5703125" style="10" customWidth="1"/>
    <col min="5383" max="5383" width="40.28515625" style="10" customWidth="1"/>
    <col min="5384" max="5384" width="12.42578125" style="10" customWidth="1"/>
    <col min="5385" max="5385" width="9.140625" style="10"/>
    <col min="5386" max="5386" width="64" style="10" customWidth="1"/>
    <col min="5387" max="5633" width="9.140625" style="10"/>
    <col min="5634" max="5634" width="11.5703125" style="10" customWidth="1"/>
    <col min="5635" max="5635" width="61.85546875" style="10" customWidth="1"/>
    <col min="5636" max="5636" width="10.5703125" style="10" customWidth="1"/>
    <col min="5637" max="5637" width="8" style="10" customWidth="1"/>
    <col min="5638" max="5638" width="14.5703125" style="10" customWidth="1"/>
    <col min="5639" max="5639" width="40.28515625" style="10" customWidth="1"/>
    <col min="5640" max="5640" width="12.42578125" style="10" customWidth="1"/>
    <col min="5641" max="5641" width="9.140625" style="10"/>
    <col min="5642" max="5642" width="64" style="10" customWidth="1"/>
    <col min="5643" max="5889" width="9.140625" style="10"/>
    <col min="5890" max="5890" width="11.5703125" style="10" customWidth="1"/>
    <col min="5891" max="5891" width="61.85546875" style="10" customWidth="1"/>
    <col min="5892" max="5892" width="10.5703125" style="10" customWidth="1"/>
    <col min="5893" max="5893" width="8" style="10" customWidth="1"/>
    <col min="5894" max="5894" width="14.5703125" style="10" customWidth="1"/>
    <col min="5895" max="5895" width="40.28515625" style="10" customWidth="1"/>
    <col min="5896" max="5896" width="12.42578125" style="10" customWidth="1"/>
    <col min="5897" max="5897" width="9.140625" style="10"/>
    <col min="5898" max="5898" width="64" style="10" customWidth="1"/>
    <col min="5899" max="6145" width="9.140625" style="10"/>
    <col min="6146" max="6146" width="11.5703125" style="10" customWidth="1"/>
    <col min="6147" max="6147" width="61.85546875" style="10" customWidth="1"/>
    <col min="6148" max="6148" width="10.5703125" style="10" customWidth="1"/>
    <col min="6149" max="6149" width="8" style="10" customWidth="1"/>
    <col min="6150" max="6150" width="14.5703125" style="10" customWidth="1"/>
    <col min="6151" max="6151" width="40.28515625" style="10" customWidth="1"/>
    <col min="6152" max="6152" width="12.42578125" style="10" customWidth="1"/>
    <col min="6153" max="6153" width="9.140625" style="10"/>
    <col min="6154" max="6154" width="64" style="10" customWidth="1"/>
    <col min="6155" max="6401" width="9.140625" style="10"/>
    <col min="6402" max="6402" width="11.5703125" style="10" customWidth="1"/>
    <col min="6403" max="6403" width="61.85546875" style="10" customWidth="1"/>
    <col min="6404" max="6404" width="10.5703125" style="10" customWidth="1"/>
    <col min="6405" max="6405" width="8" style="10" customWidth="1"/>
    <col min="6406" max="6406" width="14.5703125" style="10" customWidth="1"/>
    <col min="6407" max="6407" width="40.28515625" style="10" customWidth="1"/>
    <col min="6408" max="6408" width="12.42578125" style="10" customWidth="1"/>
    <col min="6409" max="6409" width="9.140625" style="10"/>
    <col min="6410" max="6410" width="64" style="10" customWidth="1"/>
    <col min="6411" max="6657" width="9.140625" style="10"/>
    <col min="6658" max="6658" width="11.5703125" style="10" customWidth="1"/>
    <col min="6659" max="6659" width="61.85546875" style="10" customWidth="1"/>
    <col min="6660" max="6660" width="10.5703125" style="10" customWidth="1"/>
    <col min="6661" max="6661" width="8" style="10" customWidth="1"/>
    <col min="6662" max="6662" width="14.5703125" style="10" customWidth="1"/>
    <col min="6663" max="6663" width="40.28515625" style="10" customWidth="1"/>
    <col min="6664" max="6664" width="12.42578125" style="10" customWidth="1"/>
    <col min="6665" max="6665" width="9.140625" style="10"/>
    <col min="6666" max="6666" width="64" style="10" customWidth="1"/>
    <col min="6667" max="6913" width="9.140625" style="10"/>
    <col min="6914" max="6914" width="11.5703125" style="10" customWidth="1"/>
    <col min="6915" max="6915" width="61.85546875" style="10" customWidth="1"/>
    <col min="6916" max="6916" width="10.5703125" style="10" customWidth="1"/>
    <col min="6917" max="6917" width="8" style="10" customWidth="1"/>
    <col min="6918" max="6918" width="14.5703125" style="10" customWidth="1"/>
    <col min="6919" max="6919" width="40.28515625" style="10" customWidth="1"/>
    <col min="6920" max="6920" width="12.42578125" style="10" customWidth="1"/>
    <col min="6921" max="6921" width="9.140625" style="10"/>
    <col min="6922" max="6922" width="64" style="10" customWidth="1"/>
    <col min="6923" max="7169" width="9.140625" style="10"/>
    <col min="7170" max="7170" width="11.5703125" style="10" customWidth="1"/>
    <col min="7171" max="7171" width="61.85546875" style="10" customWidth="1"/>
    <col min="7172" max="7172" width="10.5703125" style="10" customWidth="1"/>
    <col min="7173" max="7173" width="8" style="10" customWidth="1"/>
    <col min="7174" max="7174" width="14.5703125" style="10" customWidth="1"/>
    <col min="7175" max="7175" width="40.28515625" style="10" customWidth="1"/>
    <col min="7176" max="7176" width="12.42578125" style="10" customWidth="1"/>
    <col min="7177" max="7177" width="9.140625" style="10"/>
    <col min="7178" max="7178" width="64" style="10" customWidth="1"/>
    <col min="7179" max="7425" width="9.140625" style="10"/>
    <col min="7426" max="7426" width="11.5703125" style="10" customWidth="1"/>
    <col min="7427" max="7427" width="61.85546875" style="10" customWidth="1"/>
    <col min="7428" max="7428" width="10.5703125" style="10" customWidth="1"/>
    <col min="7429" max="7429" width="8" style="10" customWidth="1"/>
    <col min="7430" max="7430" width="14.5703125" style="10" customWidth="1"/>
    <col min="7431" max="7431" width="40.28515625" style="10" customWidth="1"/>
    <col min="7432" max="7432" width="12.42578125" style="10" customWidth="1"/>
    <col min="7433" max="7433" width="9.140625" style="10"/>
    <col min="7434" max="7434" width="64" style="10" customWidth="1"/>
    <col min="7435" max="7681" width="9.140625" style="10"/>
    <col min="7682" max="7682" width="11.5703125" style="10" customWidth="1"/>
    <col min="7683" max="7683" width="61.85546875" style="10" customWidth="1"/>
    <col min="7684" max="7684" width="10.5703125" style="10" customWidth="1"/>
    <col min="7685" max="7685" width="8" style="10" customWidth="1"/>
    <col min="7686" max="7686" width="14.5703125" style="10" customWidth="1"/>
    <col min="7687" max="7687" width="40.28515625" style="10" customWidth="1"/>
    <col min="7688" max="7688" width="12.42578125" style="10" customWidth="1"/>
    <col min="7689" max="7689" width="9.140625" style="10"/>
    <col min="7690" max="7690" width="64" style="10" customWidth="1"/>
    <col min="7691" max="7937" width="9.140625" style="10"/>
    <col min="7938" max="7938" width="11.5703125" style="10" customWidth="1"/>
    <col min="7939" max="7939" width="61.85546875" style="10" customWidth="1"/>
    <col min="7940" max="7940" width="10.5703125" style="10" customWidth="1"/>
    <col min="7941" max="7941" width="8" style="10" customWidth="1"/>
    <col min="7942" max="7942" width="14.5703125" style="10" customWidth="1"/>
    <col min="7943" max="7943" width="40.28515625" style="10" customWidth="1"/>
    <col min="7944" max="7944" width="12.42578125" style="10" customWidth="1"/>
    <col min="7945" max="7945" width="9.140625" style="10"/>
    <col min="7946" max="7946" width="64" style="10" customWidth="1"/>
    <col min="7947" max="8193" width="9.140625" style="10"/>
    <col min="8194" max="8194" width="11.5703125" style="10" customWidth="1"/>
    <col min="8195" max="8195" width="61.85546875" style="10" customWidth="1"/>
    <col min="8196" max="8196" width="10.5703125" style="10" customWidth="1"/>
    <col min="8197" max="8197" width="8" style="10" customWidth="1"/>
    <col min="8198" max="8198" width="14.5703125" style="10" customWidth="1"/>
    <col min="8199" max="8199" width="40.28515625" style="10" customWidth="1"/>
    <col min="8200" max="8200" width="12.42578125" style="10" customWidth="1"/>
    <col min="8201" max="8201" width="9.140625" style="10"/>
    <col min="8202" max="8202" width="64" style="10" customWidth="1"/>
    <col min="8203" max="8449" width="9.140625" style="10"/>
    <col min="8450" max="8450" width="11.5703125" style="10" customWidth="1"/>
    <col min="8451" max="8451" width="61.85546875" style="10" customWidth="1"/>
    <col min="8452" max="8452" width="10.5703125" style="10" customWidth="1"/>
    <col min="8453" max="8453" width="8" style="10" customWidth="1"/>
    <col min="8454" max="8454" width="14.5703125" style="10" customWidth="1"/>
    <col min="8455" max="8455" width="40.28515625" style="10" customWidth="1"/>
    <col min="8456" max="8456" width="12.42578125" style="10" customWidth="1"/>
    <col min="8457" max="8457" width="9.140625" style="10"/>
    <col min="8458" max="8458" width="64" style="10" customWidth="1"/>
    <col min="8459" max="8705" width="9.140625" style="10"/>
    <col min="8706" max="8706" width="11.5703125" style="10" customWidth="1"/>
    <col min="8707" max="8707" width="61.85546875" style="10" customWidth="1"/>
    <col min="8708" max="8708" width="10.5703125" style="10" customWidth="1"/>
    <col min="8709" max="8709" width="8" style="10" customWidth="1"/>
    <col min="8710" max="8710" width="14.5703125" style="10" customWidth="1"/>
    <col min="8711" max="8711" width="40.28515625" style="10" customWidth="1"/>
    <col min="8712" max="8712" width="12.42578125" style="10" customWidth="1"/>
    <col min="8713" max="8713" width="9.140625" style="10"/>
    <col min="8714" max="8714" width="64" style="10" customWidth="1"/>
    <col min="8715" max="8961" width="9.140625" style="10"/>
    <col min="8962" max="8962" width="11.5703125" style="10" customWidth="1"/>
    <col min="8963" max="8963" width="61.85546875" style="10" customWidth="1"/>
    <col min="8964" max="8964" width="10.5703125" style="10" customWidth="1"/>
    <col min="8965" max="8965" width="8" style="10" customWidth="1"/>
    <col min="8966" max="8966" width="14.5703125" style="10" customWidth="1"/>
    <col min="8967" max="8967" width="40.28515625" style="10" customWidth="1"/>
    <col min="8968" max="8968" width="12.42578125" style="10" customWidth="1"/>
    <col min="8969" max="8969" width="9.140625" style="10"/>
    <col min="8970" max="8970" width="64" style="10" customWidth="1"/>
    <col min="8971" max="9217" width="9.140625" style="10"/>
    <col min="9218" max="9218" width="11.5703125" style="10" customWidth="1"/>
    <col min="9219" max="9219" width="61.85546875" style="10" customWidth="1"/>
    <col min="9220" max="9220" width="10.5703125" style="10" customWidth="1"/>
    <col min="9221" max="9221" width="8" style="10" customWidth="1"/>
    <col min="9222" max="9222" width="14.5703125" style="10" customWidth="1"/>
    <col min="9223" max="9223" width="40.28515625" style="10" customWidth="1"/>
    <col min="9224" max="9224" width="12.42578125" style="10" customWidth="1"/>
    <col min="9225" max="9225" width="9.140625" style="10"/>
    <col min="9226" max="9226" width="64" style="10" customWidth="1"/>
    <col min="9227" max="9473" width="9.140625" style="10"/>
    <col min="9474" max="9474" width="11.5703125" style="10" customWidth="1"/>
    <col min="9475" max="9475" width="61.85546875" style="10" customWidth="1"/>
    <col min="9476" max="9476" width="10.5703125" style="10" customWidth="1"/>
    <col min="9477" max="9477" width="8" style="10" customWidth="1"/>
    <col min="9478" max="9478" width="14.5703125" style="10" customWidth="1"/>
    <col min="9479" max="9479" width="40.28515625" style="10" customWidth="1"/>
    <col min="9480" max="9480" width="12.42578125" style="10" customWidth="1"/>
    <col min="9481" max="9481" width="9.140625" style="10"/>
    <col min="9482" max="9482" width="64" style="10" customWidth="1"/>
    <col min="9483" max="9729" width="9.140625" style="10"/>
    <col min="9730" max="9730" width="11.5703125" style="10" customWidth="1"/>
    <col min="9731" max="9731" width="61.85546875" style="10" customWidth="1"/>
    <col min="9732" max="9732" width="10.5703125" style="10" customWidth="1"/>
    <col min="9733" max="9733" width="8" style="10" customWidth="1"/>
    <col min="9734" max="9734" width="14.5703125" style="10" customWidth="1"/>
    <col min="9735" max="9735" width="40.28515625" style="10" customWidth="1"/>
    <col min="9736" max="9736" width="12.42578125" style="10" customWidth="1"/>
    <col min="9737" max="9737" width="9.140625" style="10"/>
    <col min="9738" max="9738" width="64" style="10" customWidth="1"/>
    <col min="9739" max="9985" width="9.140625" style="10"/>
    <col min="9986" max="9986" width="11.5703125" style="10" customWidth="1"/>
    <col min="9987" max="9987" width="61.85546875" style="10" customWidth="1"/>
    <col min="9988" max="9988" width="10.5703125" style="10" customWidth="1"/>
    <col min="9989" max="9989" width="8" style="10" customWidth="1"/>
    <col min="9990" max="9990" width="14.5703125" style="10" customWidth="1"/>
    <col min="9991" max="9991" width="40.28515625" style="10" customWidth="1"/>
    <col min="9992" max="9992" width="12.42578125" style="10" customWidth="1"/>
    <col min="9993" max="9993" width="9.140625" style="10"/>
    <col min="9994" max="9994" width="64" style="10" customWidth="1"/>
    <col min="9995" max="10241" width="9.140625" style="10"/>
    <col min="10242" max="10242" width="11.5703125" style="10" customWidth="1"/>
    <col min="10243" max="10243" width="61.85546875" style="10" customWidth="1"/>
    <col min="10244" max="10244" width="10.5703125" style="10" customWidth="1"/>
    <col min="10245" max="10245" width="8" style="10" customWidth="1"/>
    <col min="10246" max="10246" width="14.5703125" style="10" customWidth="1"/>
    <col min="10247" max="10247" width="40.28515625" style="10" customWidth="1"/>
    <col min="10248" max="10248" width="12.42578125" style="10" customWidth="1"/>
    <col min="10249" max="10249" width="9.140625" style="10"/>
    <col min="10250" max="10250" width="64" style="10" customWidth="1"/>
    <col min="10251" max="10497" width="9.140625" style="10"/>
    <col min="10498" max="10498" width="11.5703125" style="10" customWidth="1"/>
    <col min="10499" max="10499" width="61.85546875" style="10" customWidth="1"/>
    <col min="10500" max="10500" width="10.5703125" style="10" customWidth="1"/>
    <col min="10501" max="10501" width="8" style="10" customWidth="1"/>
    <col min="10502" max="10502" width="14.5703125" style="10" customWidth="1"/>
    <col min="10503" max="10503" width="40.28515625" style="10" customWidth="1"/>
    <col min="10504" max="10504" width="12.42578125" style="10" customWidth="1"/>
    <col min="10505" max="10505" width="9.140625" style="10"/>
    <col min="10506" max="10506" width="64" style="10" customWidth="1"/>
    <col min="10507" max="10753" width="9.140625" style="10"/>
    <col min="10754" max="10754" width="11.5703125" style="10" customWidth="1"/>
    <col min="10755" max="10755" width="61.85546875" style="10" customWidth="1"/>
    <col min="10756" max="10756" width="10.5703125" style="10" customWidth="1"/>
    <col min="10757" max="10757" width="8" style="10" customWidth="1"/>
    <col min="10758" max="10758" width="14.5703125" style="10" customWidth="1"/>
    <col min="10759" max="10759" width="40.28515625" style="10" customWidth="1"/>
    <col min="10760" max="10760" width="12.42578125" style="10" customWidth="1"/>
    <col min="10761" max="10761" width="9.140625" style="10"/>
    <col min="10762" max="10762" width="64" style="10" customWidth="1"/>
    <col min="10763" max="11009" width="9.140625" style="10"/>
    <col min="11010" max="11010" width="11.5703125" style="10" customWidth="1"/>
    <col min="11011" max="11011" width="61.85546875" style="10" customWidth="1"/>
    <col min="11012" max="11012" width="10.5703125" style="10" customWidth="1"/>
    <col min="11013" max="11013" width="8" style="10" customWidth="1"/>
    <col min="11014" max="11014" width="14.5703125" style="10" customWidth="1"/>
    <col min="11015" max="11015" width="40.28515625" style="10" customWidth="1"/>
    <col min="11016" max="11016" width="12.42578125" style="10" customWidth="1"/>
    <col min="11017" max="11017" width="9.140625" style="10"/>
    <col min="11018" max="11018" width="64" style="10" customWidth="1"/>
    <col min="11019" max="11265" width="9.140625" style="10"/>
    <col min="11266" max="11266" width="11.5703125" style="10" customWidth="1"/>
    <col min="11267" max="11267" width="61.85546875" style="10" customWidth="1"/>
    <col min="11268" max="11268" width="10.5703125" style="10" customWidth="1"/>
    <col min="11269" max="11269" width="8" style="10" customWidth="1"/>
    <col min="11270" max="11270" width="14.5703125" style="10" customWidth="1"/>
    <col min="11271" max="11271" width="40.28515625" style="10" customWidth="1"/>
    <col min="11272" max="11272" width="12.42578125" style="10" customWidth="1"/>
    <col min="11273" max="11273" width="9.140625" style="10"/>
    <col min="11274" max="11274" width="64" style="10" customWidth="1"/>
    <col min="11275" max="11521" width="9.140625" style="10"/>
    <col min="11522" max="11522" width="11.5703125" style="10" customWidth="1"/>
    <col min="11523" max="11523" width="61.85546875" style="10" customWidth="1"/>
    <col min="11524" max="11524" width="10.5703125" style="10" customWidth="1"/>
    <col min="11525" max="11525" width="8" style="10" customWidth="1"/>
    <col min="11526" max="11526" width="14.5703125" style="10" customWidth="1"/>
    <col min="11527" max="11527" width="40.28515625" style="10" customWidth="1"/>
    <col min="11528" max="11528" width="12.42578125" style="10" customWidth="1"/>
    <col min="11529" max="11529" width="9.140625" style="10"/>
    <col min="11530" max="11530" width="64" style="10" customWidth="1"/>
    <col min="11531" max="11777" width="9.140625" style="10"/>
    <col min="11778" max="11778" width="11.5703125" style="10" customWidth="1"/>
    <col min="11779" max="11779" width="61.85546875" style="10" customWidth="1"/>
    <col min="11780" max="11780" width="10.5703125" style="10" customWidth="1"/>
    <col min="11781" max="11781" width="8" style="10" customWidth="1"/>
    <col min="11782" max="11782" width="14.5703125" style="10" customWidth="1"/>
    <col min="11783" max="11783" width="40.28515625" style="10" customWidth="1"/>
    <col min="11784" max="11784" width="12.42578125" style="10" customWidth="1"/>
    <col min="11785" max="11785" width="9.140625" style="10"/>
    <col min="11786" max="11786" width="64" style="10" customWidth="1"/>
    <col min="11787" max="12033" width="9.140625" style="10"/>
    <col min="12034" max="12034" width="11.5703125" style="10" customWidth="1"/>
    <col min="12035" max="12035" width="61.85546875" style="10" customWidth="1"/>
    <col min="12036" max="12036" width="10.5703125" style="10" customWidth="1"/>
    <col min="12037" max="12037" width="8" style="10" customWidth="1"/>
    <col min="12038" max="12038" width="14.5703125" style="10" customWidth="1"/>
    <col min="12039" max="12039" width="40.28515625" style="10" customWidth="1"/>
    <col min="12040" max="12040" width="12.42578125" style="10" customWidth="1"/>
    <col min="12041" max="12041" width="9.140625" style="10"/>
    <col min="12042" max="12042" width="64" style="10" customWidth="1"/>
    <col min="12043" max="12289" width="9.140625" style="10"/>
    <col min="12290" max="12290" width="11.5703125" style="10" customWidth="1"/>
    <col min="12291" max="12291" width="61.85546875" style="10" customWidth="1"/>
    <col min="12292" max="12292" width="10.5703125" style="10" customWidth="1"/>
    <col min="12293" max="12293" width="8" style="10" customWidth="1"/>
    <col min="12294" max="12294" width="14.5703125" style="10" customWidth="1"/>
    <col min="12295" max="12295" width="40.28515625" style="10" customWidth="1"/>
    <col min="12296" max="12296" width="12.42578125" style="10" customWidth="1"/>
    <col min="12297" max="12297" width="9.140625" style="10"/>
    <col min="12298" max="12298" width="64" style="10" customWidth="1"/>
    <col min="12299" max="12545" width="9.140625" style="10"/>
    <col min="12546" max="12546" width="11.5703125" style="10" customWidth="1"/>
    <col min="12547" max="12547" width="61.85546875" style="10" customWidth="1"/>
    <col min="12548" max="12548" width="10.5703125" style="10" customWidth="1"/>
    <col min="12549" max="12549" width="8" style="10" customWidth="1"/>
    <col min="12550" max="12550" width="14.5703125" style="10" customWidth="1"/>
    <col min="12551" max="12551" width="40.28515625" style="10" customWidth="1"/>
    <col min="12552" max="12552" width="12.42578125" style="10" customWidth="1"/>
    <col min="12553" max="12553" width="9.140625" style="10"/>
    <col min="12554" max="12554" width="64" style="10" customWidth="1"/>
    <col min="12555" max="12801" width="9.140625" style="10"/>
    <col min="12802" max="12802" width="11.5703125" style="10" customWidth="1"/>
    <col min="12803" max="12803" width="61.85546875" style="10" customWidth="1"/>
    <col min="12804" max="12804" width="10.5703125" style="10" customWidth="1"/>
    <col min="12805" max="12805" width="8" style="10" customWidth="1"/>
    <col min="12806" max="12806" width="14.5703125" style="10" customWidth="1"/>
    <col min="12807" max="12807" width="40.28515625" style="10" customWidth="1"/>
    <col min="12808" max="12808" width="12.42578125" style="10" customWidth="1"/>
    <col min="12809" max="12809" width="9.140625" style="10"/>
    <col min="12810" max="12810" width="64" style="10" customWidth="1"/>
    <col min="12811" max="13057" width="9.140625" style="10"/>
    <col min="13058" max="13058" width="11.5703125" style="10" customWidth="1"/>
    <col min="13059" max="13059" width="61.85546875" style="10" customWidth="1"/>
    <col min="13060" max="13060" width="10.5703125" style="10" customWidth="1"/>
    <col min="13061" max="13061" width="8" style="10" customWidth="1"/>
    <col min="13062" max="13062" width="14.5703125" style="10" customWidth="1"/>
    <col min="13063" max="13063" width="40.28515625" style="10" customWidth="1"/>
    <col min="13064" max="13064" width="12.42578125" style="10" customWidth="1"/>
    <col min="13065" max="13065" width="9.140625" style="10"/>
    <col min="13066" max="13066" width="64" style="10" customWidth="1"/>
    <col min="13067" max="13313" width="9.140625" style="10"/>
    <col min="13314" max="13314" width="11.5703125" style="10" customWidth="1"/>
    <col min="13315" max="13315" width="61.85546875" style="10" customWidth="1"/>
    <col min="13316" max="13316" width="10.5703125" style="10" customWidth="1"/>
    <col min="13317" max="13317" width="8" style="10" customWidth="1"/>
    <col min="13318" max="13318" width="14.5703125" style="10" customWidth="1"/>
    <col min="13319" max="13319" width="40.28515625" style="10" customWidth="1"/>
    <col min="13320" max="13320" width="12.42578125" style="10" customWidth="1"/>
    <col min="13321" max="13321" width="9.140625" style="10"/>
    <col min="13322" max="13322" width="64" style="10" customWidth="1"/>
    <col min="13323" max="13569" width="9.140625" style="10"/>
    <col min="13570" max="13570" width="11.5703125" style="10" customWidth="1"/>
    <col min="13571" max="13571" width="61.85546875" style="10" customWidth="1"/>
    <col min="13572" max="13572" width="10.5703125" style="10" customWidth="1"/>
    <col min="13573" max="13573" width="8" style="10" customWidth="1"/>
    <col min="13574" max="13574" width="14.5703125" style="10" customWidth="1"/>
    <col min="13575" max="13575" width="40.28515625" style="10" customWidth="1"/>
    <col min="13576" max="13576" width="12.42578125" style="10" customWidth="1"/>
    <col min="13577" max="13577" width="9.140625" style="10"/>
    <col min="13578" max="13578" width="64" style="10" customWidth="1"/>
    <col min="13579" max="13825" width="9.140625" style="10"/>
    <col min="13826" max="13826" width="11.5703125" style="10" customWidth="1"/>
    <col min="13827" max="13827" width="61.85546875" style="10" customWidth="1"/>
    <col min="13828" max="13828" width="10.5703125" style="10" customWidth="1"/>
    <col min="13829" max="13829" width="8" style="10" customWidth="1"/>
    <col min="13830" max="13830" width="14.5703125" style="10" customWidth="1"/>
    <col min="13831" max="13831" width="40.28515625" style="10" customWidth="1"/>
    <col min="13832" max="13832" width="12.42578125" style="10" customWidth="1"/>
    <col min="13833" max="13833" width="9.140625" style="10"/>
    <col min="13834" max="13834" width="64" style="10" customWidth="1"/>
    <col min="13835" max="14081" width="9.140625" style="10"/>
    <col min="14082" max="14082" width="11.5703125" style="10" customWidth="1"/>
    <col min="14083" max="14083" width="61.85546875" style="10" customWidth="1"/>
    <col min="14084" max="14084" width="10.5703125" style="10" customWidth="1"/>
    <col min="14085" max="14085" width="8" style="10" customWidth="1"/>
    <col min="14086" max="14086" width="14.5703125" style="10" customWidth="1"/>
    <col min="14087" max="14087" width="40.28515625" style="10" customWidth="1"/>
    <col min="14088" max="14088" width="12.42578125" style="10" customWidth="1"/>
    <col min="14089" max="14089" width="9.140625" style="10"/>
    <col min="14090" max="14090" width="64" style="10" customWidth="1"/>
    <col min="14091" max="14337" width="9.140625" style="10"/>
    <col min="14338" max="14338" width="11.5703125" style="10" customWidth="1"/>
    <col min="14339" max="14339" width="61.85546875" style="10" customWidth="1"/>
    <col min="14340" max="14340" width="10.5703125" style="10" customWidth="1"/>
    <col min="14341" max="14341" width="8" style="10" customWidth="1"/>
    <col min="14342" max="14342" width="14.5703125" style="10" customWidth="1"/>
    <col min="14343" max="14343" width="40.28515625" style="10" customWidth="1"/>
    <col min="14344" max="14344" width="12.42578125" style="10" customWidth="1"/>
    <col min="14345" max="14345" width="9.140625" style="10"/>
    <col min="14346" max="14346" width="64" style="10" customWidth="1"/>
    <col min="14347" max="14593" width="9.140625" style="10"/>
    <col min="14594" max="14594" width="11.5703125" style="10" customWidth="1"/>
    <col min="14595" max="14595" width="61.85546875" style="10" customWidth="1"/>
    <col min="14596" max="14596" width="10.5703125" style="10" customWidth="1"/>
    <col min="14597" max="14597" width="8" style="10" customWidth="1"/>
    <col min="14598" max="14598" width="14.5703125" style="10" customWidth="1"/>
    <col min="14599" max="14599" width="40.28515625" style="10" customWidth="1"/>
    <col min="14600" max="14600" width="12.42578125" style="10" customWidth="1"/>
    <col min="14601" max="14601" width="9.140625" style="10"/>
    <col min="14602" max="14602" width="64" style="10" customWidth="1"/>
    <col min="14603" max="14849" width="9.140625" style="10"/>
    <col min="14850" max="14850" width="11.5703125" style="10" customWidth="1"/>
    <col min="14851" max="14851" width="61.85546875" style="10" customWidth="1"/>
    <col min="14852" max="14852" width="10.5703125" style="10" customWidth="1"/>
    <col min="14853" max="14853" width="8" style="10" customWidth="1"/>
    <col min="14854" max="14854" width="14.5703125" style="10" customWidth="1"/>
    <col min="14855" max="14855" width="40.28515625" style="10" customWidth="1"/>
    <col min="14856" max="14856" width="12.42578125" style="10" customWidth="1"/>
    <col min="14857" max="14857" width="9.140625" style="10"/>
    <col min="14858" max="14858" width="64" style="10" customWidth="1"/>
    <col min="14859" max="15105" width="9.140625" style="10"/>
    <col min="15106" max="15106" width="11.5703125" style="10" customWidth="1"/>
    <col min="15107" max="15107" width="61.85546875" style="10" customWidth="1"/>
    <col min="15108" max="15108" width="10.5703125" style="10" customWidth="1"/>
    <col min="15109" max="15109" width="8" style="10" customWidth="1"/>
    <col min="15110" max="15110" width="14.5703125" style="10" customWidth="1"/>
    <col min="15111" max="15111" width="40.28515625" style="10" customWidth="1"/>
    <col min="15112" max="15112" width="12.42578125" style="10" customWidth="1"/>
    <col min="15113" max="15113" width="9.140625" style="10"/>
    <col min="15114" max="15114" width="64" style="10" customWidth="1"/>
    <col min="15115" max="15361" width="9.140625" style="10"/>
    <col min="15362" max="15362" width="11.5703125" style="10" customWidth="1"/>
    <col min="15363" max="15363" width="61.85546875" style="10" customWidth="1"/>
    <col min="15364" max="15364" width="10.5703125" style="10" customWidth="1"/>
    <col min="15365" max="15365" width="8" style="10" customWidth="1"/>
    <col min="15366" max="15366" width="14.5703125" style="10" customWidth="1"/>
    <col min="15367" max="15367" width="40.28515625" style="10" customWidth="1"/>
    <col min="15368" max="15368" width="12.42578125" style="10" customWidth="1"/>
    <col min="15369" max="15369" width="9.140625" style="10"/>
    <col min="15370" max="15370" width="64" style="10" customWidth="1"/>
    <col min="15371" max="15617" width="9.140625" style="10"/>
    <col min="15618" max="15618" width="11.5703125" style="10" customWidth="1"/>
    <col min="15619" max="15619" width="61.85546875" style="10" customWidth="1"/>
    <col min="15620" max="15620" width="10.5703125" style="10" customWidth="1"/>
    <col min="15621" max="15621" width="8" style="10" customWidth="1"/>
    <col min="15622" max="15622" width="14.5703125" style="10" customWidth="1"/>
    <col min="15623" max="15623" width="40.28515625" style="10" customWidth="1"/>
    <col min="15624" max="15624" width="12.42578125" style="10" customWidth="1"/>
    <col min="15625" max="15625" width="9.140625" style="10"/>
    <col min="15626" max="15626" width="64" style="10" customWidth="1"/>
    <col min="15627" max="15873" width="9.140625" style="10"/>
    <col min="15874" max="15874" width="11.5703125" style="10" customWidth="1"/>
    <col min="15875" max="15875" width="61.85546875" style="10" customWidth="1"/>
    <col min="15876" max="15876" width="10.5703125" style="10" customWidth="1"/>
    <col min="15877" max="15877" width="8" style="10" customWidth="1"/>
    <col min="15878" max="15878" width="14.5703125" style="10" customWidth="1"/>
    <col min="15879" max="15879" width="40.28515625" style="10" customWidth="1"/>
    <col min="15880" max="15880" width="12.42578125" style="10" customWidth="1"/>
    <col min="15881" max="15881" width="9.140625" style="10"/>
    <col min="15882" max="15882" width="64" style="10" customWidth="1"/>
    <col min="15883" max="16129" width="9.140625" style="10"/>
    <col min="16130" max="16130" width="11.5703125" style="10" customWidth="1"/>
    <col min="16131" max="16131" width="61.85546875" style="10" customWidth="1"/>
    <col min="16132" max="16132" width="10.5703125" style="10" customWidth="1"/>
    <col min="16133" max="16133" width="8" style="10" customWidth="1"/>
    <col min="16134" max="16134" width="14.5703125" style="10" customWidth="1"/>
    <col min="16135" max="16135" width="40.28515625" style="10" customWidth="1"/>
    <col min="16136" max="16136" width="12.42578125" style="10" customWidth="1"/>
    <col min="16137" max="16137" width="9.140625" style="10"/>
    <col min="16138" max="16138" width="64" style="10" customWidth="1"/>
    <col min="16139" max="16384" width="9.140625" style="10"/>
  </cols>
  <sheetData>
    <row r="1" spans="2:10" ht="16.5" thickBot="1" x14ac:dyDescent="0.3"/>
    <row r="2" spans="2:10" ht="47.25" x14ac:dyDescent="0.25">
      <c r="B2" s="11" t="s">
        <v>283</v>
      </c>
      <c r="C2" s="12" t="s">
        <v>284</v>
      </c>
      <c r="E2" s="13" t="s">
        <v>285</v>
      </c>
      <c r="F2" s="14" t="s">
        <v>286</v>
      </c>
      <c r="G2" s="15" t="s">
        <v>287</v>
      </c>
      <c r="I2" s="16" t="s">
        <v>288</v>
      </c>
      <c r="J2" s="17" t="s">
        <v>289</v>
      </c>
    </row>
    <row r="3" spans="2:10" x14ac:dyDescent="0.25">
      <c r="B3" s="18"/>
      <c r="C3" s="19"/>
      <c r="E3" s="20"/>
      <c r="F3" s="21"/>
      <c r="G3" s="22"/>
      <c r="I3" s="23"/>
      <c r="J3" s="24"/>
    </row>
    <row r="4" spans="2:10" x14ac:dyDescent="0.25">
      <c r="B4" s="18">
        <v>1</v>
      </c>
      <c r="C4" s="19" t="s">
        <v>290</v>
      </c>
      <c r="E4" s="20">
        <v>1</v>
      </c>
      <c r="F4" s="21" t="s">
        <v>291</v>
      </c>
      <c r="G4" s="22" t="s">
        <v>292</v>
      </c>
      <c r="I4" s="23">
        <v>1</v>
      </c>
      <c r="J4" s="25" t="s">
        <v>293</v>
      </c>
    </row>
    <row r="5" spans="2:10" x14ac:dyDescent="0.25">
      <c r="B5" s="18">
        <v>2</v>
      </c>
      <c r="C5" s="19" t="s">
        <v>294</v>
      </c>
      <c r="E5" s="20">
        <v>2</v>
      </c>
      <c r="F5" s="21" t="s">
        <v>295</v>
      </c>
      <c r="G5" s="22" t="s">
        <v>296</v>
      </c>
      <c r="I5" s="23">
        <v>2</v>
      </c>
      <c r="J5" s="25" t="s">
        <v>297</v>
      </c>
    </row>
    <row r="6" spans="2:10" ht="31.5" x14ac:dyDescent="0.25">
      <c r="B6" s="18">
        <v>3</v>
      </c>
      <c r="C6" s="19" t="s">
        <v>298</v>
      </c>
      <c r="E6" s="20">
        <v>3</v>
      </c>
      <c r="F6" s="21" t="s">
        <v>299</v>
      </c>
      <c r="G6" s="22" t="s">
        <v>300</v>
      </c>
      <c r="I6" s="23">
        <v>3</v>
      </c>
      <c r="J6" s="25" t="s">
        <v>301</v>
      </c>
    </row>
    <row r="7" spans="2:10" x14ac:dyDescent="0.25">
      <c r="B7" s="18">
        <v>4</v>
      </c>
      <c r="C7" s="19" t="s">
        <v>302</v>
      </c>
      <c r="E7" s="20">
        <v>4</v>
      </c>
      <c r="F7" s="21" t="s">
        <v>303</v>
      </c>
      <c r="G7" s="22" t="s">
        <v>304</v>
      </c>
      <c r="I7" s="23">
        <v>4</v>
      </c>
      <c r="J7" s="25" t="s">
        <v>305</v>
      </c>
    </row>
    <row r="8" spans="2:10" x14ac:dyDescent="0.25">
      <c r="B8" s="18">
        <v>5</v>
      </c>
      <c r="C8" s="19" t="s">
        <v>306</v>
      </c>
      <c r="E8" s="20">
        <v>5</v>
      </c>
      <c r="F8" s="21" t="s">
        <v>307</v>
      </c>
      <c r="G8" s="22" t="s">
        <v>308</v>
      </c>
      <c r="I8" s="23">
        <v>5</v>
      </c>
      <c r="J8" s="25" t="s">
        <v>309</v>
      </c>
    </row>
    <row r="9" spans="2:10" x14ac:dyDescent="0.25">
      <c r="B9" s="18">
        <v>6</v>
      </c>
      <c r="C9" s="19" t="s">
        <v>310</v>
      </c>
      <c r="E9" s="20">
        <v>6</v>
      </c>
      <c r="F9" s="21" t="s">
        <v>311</v>
      </c>
      <c r="G9" s="22" t="s">
        <v>312</v>
      </c>
      <c r="I9" s="23">
        <v>6</v>
      </c>
      <c r="J9" s="24" t="s">
        <v>313</v>
      </c>
    </row>
    <row r="10" spans="2:10" x14ac:dyDescent="0.25">
      <c r="B10" s="18">
        <v>7</v>
      </c>
      <c r="C10" s="19" t="s">
        <v>314</v>
      </c>
      <c r="E10" s="20">
        <v>7</v>
      </c>
      <c r="F10" s="21" t="s">
        <v>315</v>
      </c>
      <c r="G10" s="22" t="s">
        <v>316</v>
      </c>
      <c r="I10" s="23"/>
      <c r="J10" s="26"/>
    </row>
    <row r="11" spans="2:10" x14ac:dyDescent="0.25">
      <c r="B11" s="18">
        <v>8</v>
      </c>
      <c r="C11" s="19" t="s">
        <v>317</v>
      </c>
      <c r="E11" s="20">
        <v>8</v>
      </c>
      <c r="F11" s="21" t="s">
        <v>318</v>
      </c>
      <c r="G11" s="22" t="s">
        <v>319</v>
      </c>
      <c r="I11" s="23"/>
      <c r="J11" s="24"/>
    </row>
    <row r="12" spans="2:10" x14ac:dyDescent="0.25">
      <c r="B12" s="18">
        <v>9</v>
      </c>
      <c r="C12" s="19" t="s">
        <v>320</v>
      </c>
      <c r="E12" s="20">
        <v>9</v>
      </c>
      <c r="F12" s="21" t="s">
        <v>321</v>
      </c>
      <c r="G12" s="22" t="s">
        <v>322</v>
      </c>
      <c r="I12" s="23"/>
      <c r="J12" s="24"/>
    </row>
    <row r="13" spans="2:10" ht="16.5" thickBot="1" x14ac:dyDescent="0.3">
      <c r="B13" s="18">
        <v>10</v>
      </c>
      <c r="C13" s="19" t="s">
        <v>323</v>
      </c>
      <c r="E13" s="20">
        <v>10</v>
      </c>
      <c r="F13" s="21" t="s">
        <v>324</v>
      </c>
      <c r="G13" s="22" t="s">
        <v>325</v>
      </c>
      <c r="I13" s="27"/>
      <c r="J13" s="28"/>
    </row>
    <row r="14" spans="2:10" x14ac:dyDescent="0.25">
      <c r="B14" s="18">
        <v>11</v>
      </c>
      <c r="C14" s="19" t="s">
        <v>326</v>
      </c>
      <c r="E14" s="20">
        <v>11</v>
      </c>
      <c r="F14" s="21" t="s">
        <v>327</v>
      </c>
      <c r="G14" s="22" t="s">
        <v>328</v>
      </c>
    </row>
    <row r="15" spans="2:10" ht="16.5" thickBot="1" x14ac:dyDescent="0.3">
      <c r="B15" s="18">
        <v>12</v>
      </c>
      <c r="C15" s="19" t="s">
        <v>329</v>
      </c>
      <c r="E15" s="20">
        <v>12</v>
      </c>
      <c r="F15" s="21" t="s">
        <v>330</v>
      </c>
      <c r="G15" s="22" t="s">
        <v>331</v>
      </c>
    </row>
    <row r="16" spans="2:10" x14ac:dyDescent="0.25">
      <c r="B16" s="18">
        <v>13</v>
      </c>
      <c r="C16" s="19" t="s">
        <v>332</v>
      </c>
      <c r="E16" s="20">
        <v>13</v>
      </c>
      <c r="F16" s="21" t="s">
        <v>333</v>
      </c>
      <c r="G16" s="22" t="s">
        <v>334</v>
      </c>
      <c r="I16" s="29" t="s">
        <v>288</v>
      </c>
      <c r="J16" s="30" t="s">
        <v>335</v>
      </c>
    </row>
    <row r="17" spans="2:10" x14ac:dyDescent="0.25">
      <c r="B17" s="18">
        <v>14</v>
      </c>
      <c r="C17" s="19" t="s">
        <v>336</v>
      </c>
      <c r="E17" s="20">
        <v>14</v>
      </c>
      <c r="F17" s="21" t="s">
        <v>337</v>
      </c>
      <c r="G17" s="22" t="s">
        <v>338</v>
      </c>
      <c r="I17" s="31"/>
      <c r="J17" s="32"/>
    </row>
    <row r="18" spans="2:10" x14ac:dyDescent="0.25">
      <c r="B18" s="18">
        <v>15</v>
      </c>
      <c r="C18" s="19" t="s">
        <v>339</v>
      </c>
      <c r="E18" s="20">
        <v>15</v>
      </c>
      <c r="F18" s="21" t="s">
        <v>340</v>
      </c>
      <c r="G18" s="22" t="s">
        <v>341</v>
      </c>
      <c r="I18" s="31">
        <v>1</v>
      </c>
      <c r="J18" s="33" t="s">
        <v>342</v>
      </c>
    </row>
    <row r="19" spans="2:10" ht="47.25" x14ac:dyDescent="0.25">
      <c r="B19" s="18">
        <v>16</v>
      </c>
      <c r="C19" s="19" t="s">
        <v>343</v>
      </c>
      <c r="E19" s="20">
        <v>16</v>
      </c>
      <c r="F19" s="21" t="s">
        <v>344</v>
      </c>
      <c r="G19" s="22" t="s">
        <v>345</v>
      </c>
      <c r="I19" s="31">
        <v>2</v>
      </c>
      <c r="J19" s="34" t="s">
        <v>346</v>
      </c>
    </row>
    <row r="20" spans="2:10" x14ac:dyDescent="0.25">
      <c r="B20" s="18">
        <v>17</v>
      </c>
      <c r="C20" s="19" t="s">
        <v>347</v>
      </c>
      <c r="E20" s="20">
        <v>17</v>
      </c>
      <c r="F20" s="21" t="s">
        <v>348</v>
      </c>
      <c r="G20" s="22" t="s">
        <v>349</v>
      </c>
      <c r="I20" s="31">
        <v>3</v>
      </c>
      <c r="J20" s="35" t="s">
        <v>350</v>
      </c>
    </row>
    <row r="21" spans="2:10" ht="31.5" x14ac:dyDescent="0.25">
      <c r="B21" s="18">
        <v>18</v>
      </c>
      <c r="C21" s="19" t="s">
        <v>351</v>
      </c>
      <c r="E21" s="20">
        <v>18</v>
      </c>
      <c r="F21" s="21" t="s">
        <v>352</v>
      </c>
      <c r="G21" s="22" t="s">
        <v>353</v>
      </c>
      <c r="I21" s="31">
        <v>4</v>
      </c>
      <c r="J21" s="35" t="s">
        <v>354</v>
      </c>
    </row>
    <row r="22" spans="2:10" x14ac:dyDescent="0.25">
      <c r="B22" s="18">
        <v>19</v>
      </c>
      <c r="C22" s="19" t="s">
        <v>355</v>
      </c>
      <c r="E22" s="20">
        <v>19</v>
      </c>
      <c r="F22" s="21" t="s">
        <v>356</v>
      </c>
      <c r="G22" s="22" t="s">
        <v>357</v>
      </c>
      <c r="I22" s="31">
        <v>5</v>
      </c>
      <c r="J22" s="35" t="s">
        <v>358</v>
      </c>
    </row>
    <row r="23" spans="2:10" x14ac:dyDescent="0.25">
      <c r="B23" s="18">
        <v>20</v>
      </c>
      <c r="C23" s="19" t="s">
        <v>359</v>
      </c>
      <c r="E23" s="20">
        <v>20</v>
      </c>
      <c r="F23" s="21" t="s">
        <v>360</v>
      </c>
      <c r="G23" s="22" t="s">
        <v>361</v>
      </c>
      <c r="I23" s="31">
        <v>6</v>
      </c>
      <c r="J23" s="35" t="s">
        <v>362</v>
      </c>
    </row>
    <row r="24" spans="2:10" x14ac:dyDescent="0.25">
      <c r="B24" s="18">
        <v>21</v>
      </c>
      <c r="C24" s="19" t="s">
        <v>363</v>
      </c>
      <c r="E24" s="20">
        <v>21</v>
      </c>
      <c r="F24" s="21" t="s">
        <v>364</v>
      </c>
      <c r="G24" s="22" t="s">
        <v>365</v>
      </c>
      <c r="I24" s="31">
        <v>7</v>
      </c>
      <c r="J24" s="35" t="s">
        <v>366</v>
      </c>
    </row>
    <row r="25" spans="2:10" ht="16.5" thickBot="1" x14ac:dyDescent="0.3">
      <c r="B25" s="18">
        <v>22</v>
      </c>
      <c r="C25" s="19" t="s">
        <v>367</v>
      </c>
      <c r="E25" s="36">
        <v>22</v>
      </c>
      <c r="F25" s="37" t="s">
        <v>368</v>
      </c>
      <c r="G25" s="38" t="s">
        <v>369</v>
      </c>
      <c r="I25" s="31">
        <v>8</v>
      </c>
      <c r="J25" s="35" t="s">
        <v>370</v>
      </c>
    </row>
    <row r="26" spans="2:10" x14ac:dyDescent="0.25">
      <c r="B26" s="18">
        <v>23</v>
      </c>
      <c r="C26" s="19" t="s">
        <v>371</v>
      </c>
      <c r="I26" s="31">
        <v>9</v>
      </c>
      <c r="J26" s="35" t="s">
        <v>372</v>
      </c>
    </row>
    <row r="27" spans="2:10" x14ac:dyDescent="0.25">
      <c r="B27" s="18">
        <v>24</v>
      </c>
      <c r="C27" s="19" t="s">
        <v>373</v>
      </c>
      <c r="I27" s="31"/>
      <c r="J27" s="32"/>
    </row>
    <row r="28" spans="2:10" x14ac:dyDescent="0.25">
      <c r="B28" s="18">
        <v>25</v>
      </c>
      <c r="C28" s="19" t="s">
        <v>374</v>
      </c>
      <c r="I28" s="31"/>
      <c r="J28" s="32"/>
    </row>
    <row r="29" spans="2:10" ht="16.5" thickBot="1" x14ac:dyDescent="0.3">
      <c r="B29" s="18">
        <v>26</v>
      </c>
      <c r="C29" s="19" t="s">
        <v>375</v>
      </c>
      <c r="I29" s="39"/>
      <c r="J29" s="40"/>
    </row>
    <row r="30" spans="2:10" x14ac:dyDescent="0.25">
      <c r="B30" s="18">
        <v>27</v>
      </c>
      <c r="C30" s="19" t="s">
        <v>376</v>
      </c>
    </row>
    <row r="31" spans="2:10" ht="31.5" x14ac:dyDescent="0.25">
      <c r="B31" s="18">
        <v>28</v>
      </c>
      <c r="C31" s="19" t="s">
        <v>377</v>
      </c>
      <c r="I31" s="41"/>
      <c r="J31" s="42"/>
    </row>
    <row r="32" spans="2:10" x14ac:dyDescent="0.25">
      <c r="B32" s="18">
        <v>29</v>
      </c>
      <c r="C32" s="19" t="s">
        <v>378</v>
      </c>
      <c r="I32" s="41"/>
      <c r="J32" s="42"/>
    </row>
    <row r="33" spans="2:10" x14ac:dyDescent="0.25">
      <c r="B33" s="18">
        <v>30</v>
      </c>
      <c r="C33" s="19" t="s">
        <v>379</v>
      </c>
      <c r="I33" s="41"/>
      <c r="J33" s="42"/>
    </row>
    <row r="34" spans="2:10" x14ac:dyDescent="0.25">
      <c r="B34" s="18">
        <v>31</v>
      </c>
      <c r="C34" s="19" t="s">
        <v>380</v>
      </c>
      <c r="I34" s="41"/>
      <c r="J34" s="42"/>
    </row>
    <row r="35" spans="2:10" x14ac:dyDescent="0.25">
      <c r="B35" s="18">
        <v>32</v>
      </c>
      <c r="C35" s="19" t="s">
        <v>381</v>
      </c>
      <c r="I35" s="41"/>
      <c r="J35" s="41"/>
    </row>
    <row r="36" spans="2:10" x14ac:dyDescent="0.25">
      <c r="B36" s="18">
        <v>33</v>
      </c>
      <c r="C36" s="19" t="s">
        <v>382</v>
      </c>
    </row>
    <row r="37" spans="2:10" x14ac:dyDescent="0.25">
      <c r="B37" s="18">
        <v>34</v>
      </c>
      <c r="C37" s="19" t="s">
        <v>383</v>
      </c>
    </row>
    <row r="38" spans="2:10" ht="32.25" thickBot="1" x14ac:dyDescent="0.3">
      <c r="B38" s="43">
        <v>35</v>
      </c>
      <c r="C38" s="44" t="s">
        <v>384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Справка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Ю. Ашмарин</dc:creator>
  <cp:lastModifiedBy>Оксана В. Дуева</cp:lastModifiedBy>
  <dcterms:created xsi:type="dcterms:W3CDTF">2023-04-13T00:02:24Z</dcterms:created>
  <dcterms:modified xsi:type="dcterms:W3CDTF">2023-04-24T04:23:51Z</dcterms:modified>
</cp:coreProperties>
</file>